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14730" windowHeight="7605" activeTab="2"/>
  </bookViews>
  <sheets>
    <sheet name="ยกมาเดือนมีนาคม" sheetId="1" r:id="rId1"/>
    <sheet name="เมษา61" sheetId="2" r:id="rId2"/>
    <sheet name="พค.61" sheetId="3" r:id="rId3"/>
    <sheet name="มิย.60" sheetId="4" r:id="rId4"/>
    <sheet name="กค.60" sheetId="5" r:id="rId5"/>
    <sheet name="สค60" sheetId="6" r:id="rId6"/>
    <sheet name="กย.60" sheetId="7" r:id="rId7"/>
    <sheet name="ตค.60" sheetId="8" r:id="rId8"/>
    <sheet name="พย.60" sheetId="9" r:id="rId9"/>
    <sheet name="ธค.60" sheetId="10" r:id="rId10"/>
    <sheet name="มค.61" sheetId="11" r:id="rId11"/>
    <sheet name="กพ.61" sheetId="12" r:id="rId12"/>
    <sheet name="มีค.61" sheetId="13" r:id="rId13"/>
    <sheet name="Zap Bank" sheetId="14" r:id="rId14"/>
  </sheets>
  <definedNames>
    <definedName name="_xlnm.Print_Area" localSheetId="13">'Zap Bank'!$A$1:$E$46</definedName>
    <definedName name="_xlnm.Print_Area" localSheetId="4">'กค.60'!$A$1:$AQ$65</definedName>
    <definedName name="_xlnm.Print_Area" localSheetId="11">'กพ.61'!$A$1:$AP$66</definedName>
    <definedName name="_xlnm.Print_Area" localSheetId="6">'กย.60'!$A$1:$AP$64</definedName>
    <definedName name="_xlnm.Print_Area" localSheetId="7">'ตค.60'!$A$1:$AP$64</definedName>
    <definedName name="_xlnm.Print_Area" localSheetId="9">'ธค.60'!$A$1:$AP$65</definedName>
    <definedName name="_xlnm.Print_Area" localSheetId="2">'พค.61'!$A$1:$AQ$63</definedName>
    <definedName name="_xlnm.Print_Area" localSheetId="8">'พย.60'!$A$1:$AQ$64</definedName>
    <definedName name="_xlnm.Print_Area" localSheetId="10">'มค.61'!$A$1:$AP$68</definedName>
    <definedName name="_xlnm.Print_Area" localSheetId="3">'มิย.60'!$A$1:$AQ$63</definedName>
    <definedName name="_xlnm.Print_Area" localSheetId="12">'มีค.61'!$A$1:$AP$66</definedName>
    <definedName name="_xlnm.Print_Area" localSheetId="1">'เมษา61'!$A$1:$AP$65</definedName>
    <definedName name="_xlnm.Print_Area" localSheetId="0">'ยกมาเดือนมีนาคม'!$C$21:$E$55</definedName>
    <definedName name="_xlnm.Print_Area" localSheetId="5">'สค60'!$A$1:$AQ$64</definedName>
    <definedName name="_xlnm.Print_Titles" localSheetId="13">'Zap Bank'!$1:$2</definedName>
    <definedName name="_xlnm.Print_Titles" localSheetId="4">'กค.60'!$1:$2</definedName>
    <definedName name="_xlnm.Print_Titles" localSheetId="11">'กพ.61'!$1:$2</definedName>
    <definedName name="_xlnm.Print_Titles" localSheetId="6">'กย.60'!$1:$2</definedName>
    <definedName name="_xlnm.Print_Titles" localSheetId="7">'ตค.60'!$1:$2</definedName>
    <definedName name="_xlnm.Print_Titles" localSheetId="9">'ธค.60'!$1:$2</definedName>
    <definedName name="_xlnm.Print_Titles" localSheetId="2">'พค.61'!$1:$2</definedName>
    <definedName name="_xlnm.Print_Titles" localSheetId="8">'พย.60'!$1:$2</definedName>
    <definedName name="_xlnm.Print_Titles" localSheetId="10">'มค.61'!$1:$2</definedName>
    <definedName name="_xlnm.Print_Titles" localSheetId="3">'มิย.60'!$1:$2</definedName>
    <definedName name="_xlnm.Print_Titles" localSheetId="12">'มีค.61'!$1:$2</definedName>
    <definedName name="_xlnm.Print_Titles" localSheetId="1">'เมษา61'!$1:$2</definedName>
    <definedName name="_xlnm.Print_Titles" localSheetId="0">'ยกมาเดือนมีนาคม'!$1:$2</definedName>
    <definedName name="_xlnm.Print_Titles" localSheetId="5">'สค60'!$1:$2</definedName>
  </definedNames>
  <calcPr fullCalcOnLoad="1"/>
</workbook>
</file>

<file path=xl/comments10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D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  <comment ref="AJ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หักฝากคลัง หนึ่งล้าน ใน GL ลงวันที่ 31 สิงหาคม 25660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AJ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หักฝากคลัง หนึ่งล้าน ใน GL ลงวันที่ 31 สิงหาคม 25660</t>
        </r>
      </text>
    </commen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D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แม่โป้ห้วยเก่า ปิดแล้ว 5081000895</t>
        </r>
      </text>
    </comment>
  </commentList>
</comments>
</file>

<file path=xl/sharedStrings.xml><?xml version="1.0" encoding="utf-8"?>
<sst xmlns="http://schemas.openxmlformats.org/spreadsheetml/2006/main" count="2385" uniqueCount="163">
  <si>
    <t>เงินนอกงบประมาณ</t>
  </si>
  <si>
    <t>เลขที่บัญชี</t>
  </si>
  <si>
    <t>เงินฝากธนาคารกรุงไทย/สิโรรส</t>
  </si>
  <si>
    <t>รายการ</t>
  </si>
  <si>
    <t>006E48</t>
  </si>
  <si>
    <t>006E49</t>
  </si>
  <si>
    <t>006E50</t>
  </si>
  <si>
    <t>006E51</t>
  </si>
  <si>
    <t>006E52</t>
  </si>
  <si>
    <t>006E54</t>
  </si>
  <si>
    <t>006M44</t>
  </si>
  <si>
    <t>006M48</t>
  </si>
  <si>
    <t>ออมทรัพย์</t>
  </si>
  <si>
    <t>เงินฝากธนาคารไทยพาณิชย์/ยะลา</t>
  </si>
  <si>
    <t>เงินฝากธนาคาร ธกส./ยะลา</t>
  </si>
  <si>
    <t>เงินฝากธนาคารกรุงไทย/ยะลา</t>
  </si>
  <si>
    <t>061-2-19299-9</t>
  </si>
  <si>
    <t>006E53</t>
  </si>
  <si>
    <t>014042</t>
  </si>
  <si>
    <t>006M39</t>
  </si>
  <si>
    <t>006M40</t>
  </si>
  <si>
    <t>006M41</t>
  </si>
  <si>
    <t>006M42</t>
  </si>
  <si>
    <t>006M43</t>
  </si>
  <si>
    <t>006I44</t>
  </si>
  <si>
    <t>006I45</t>
  </si>
  <si>
    <t>034730</t>
  </si>
  <si>
    <t>034729</t>
  </si>
  <si>
    <t>006M45</t>
  </si>
  <si>
    <t>006M46</t>
  </si>
  <si>
    <t>006M47</t>
  </si>
  <si>
    <t>เงินสด</t>
  </si>
  <si>
    <t>เช็ค</t>
  </si>
  <si>
    <t>เงินฝากคลัง</t>
  </si>
  <si>
    <t>006T04</t>
  </si>
  <si>
    <t>006T05</t>
  </si>
  <si>
    <t>006X31</t>
  </si>
  <si>
    <t>034B76</t>
  </si>
  <si>
    <t>061-2-36486-5</t>
  </si>
  <si>
    <t>เงินฝากธนาคารกรุงไทย/สิโรรส  กระแสรายวัน</t>
  </si>
  <si>
    <t>เงินในงบประมาณ</t>
  </si>
  <si>
    <t>เงินสดในมือ</t>
  </si>
  <si>
    <t>เงินในงบประมาณกระแสรายวัน 207-1</t>
  </si>
  <si>
    <t>061-2-80675-4</t>
  </si>
  <si>
    <t>061-5-00408-4</t>
  </si>
  <si>
    <t>รหัส
บัญชีย่อย</t>
  </si>
  <si>
    <t>ชื่อบัญชี</t>
  </si>
  <si>
    <t>กองทุนแรงงานต่างด้าว ร.พ.ยะลา</t>
  </si>
  <si>
    <t>ประกันสังคม ร.พ.ยะลา</t>
  </si>
  <si>
    <t>-</t>
  </si>
  <si>
    <t>โรงพยาบาลยะลา(ทุนสมเด็จ)</t>
  </si>
  <si>
    <t>เงินสงเคราะห์ผู้ป่วยยากจน รพ.ศูนย์ยะลา(ในสมเด็จพระเทพฯ)</t>
  </si>
  <si>
    <t>โรงพยาบาลยะลา (เงินทุนนายบุญเลี้ยง ครุกานันต์)</t>
  </si>
  <si>
    <t>มูลนิธิ "หัจญีประยูร วฑานยกุล"</t>
  </si>
  <si>
    <t xml:space="preserve">จังหวัดยะลา (โรงพยาบาลยะลา) </t>
  </si>
  <si>
    <t>โครงการผ่าตัดเฉลิมพระเกียรติ(แก้วตาดวงใจ)</t>
  </si>
  <si>
    <t>สนับสนุน บริการตามพระราชบัญญัติฟื้นฟูสมรรถภาพคนพิการ</t>
  </si>
  <si>
    <t>ศูนย์โรคหัวใจและศูนย์อุบัติเหตุ โรงพยาบาลยะลา</t>
  </si>
  <si>
    <t>สปร.(เงินกู้ธนาคารโลก)โรงพยาบาลยะลา</t>
  </si>
  <si>
    <t>เงินบำรุงบัตรประกันสุขภาพ โรงพยาบาลยะลา</t>
  </si>
  <si>
    <t>01061-2-33309-8</t>
  </si>
  <si>
    <t>ศูนย์แพทย์ศาสตร์ศึกษาชั้นคลินิก โรงพยาบาลยะลา</t>
  </si>
  <si>
    <t>เงินประกันสังคมพัฒนากิจการโรงพยาบาลยะลา</t>
  </si>
  <si>
    <t>ร.พ.ศูนย์ยะลา "โครงการกระจายแพทย์หนึ่งอำเภอหนึ่งทุน"</t>
  </si>
  <si>
    <t>เงินบำรุงศูนย์แทพย์ศาสตร์ชั้นคลินิก โรงพยาบาลยะลา</t>
  </si>
  <si>
    <t>เงินอุดหนุนทั่วไป โรงพยาบาลยะลา</t>
  </si>
  <si>
    <t>บัญชีเงินอุดหนุนสร้างหลักประกันสุขภาพถ้วนหน้าปี45</t>
  </si>
  <si>
    <t>เงินอุดหนุนด้านสาธารณสุขบุคคลที่มีปัญหาสถานะสิทธิ รพ.ยะลา</t>
  </si>
  <si>
    <t>กองทุนแม่โป้ห้วย เพื่อมูลนิธิโรงพยาบาลยะลา</t>
  </si>
  <si>
    <t>เงินเบิกจาก สสจ.</t>
  </si>
  <si>
    <t>โครงการคลินิกโรคจาการทำงาน</t>
  </si>
  <si>
    <t>แม่โป้ห้วย เพื่อมูลนิธิ รพ.ยะลา (บัญชีปิดแล้ว)</t>
  </si>
  <si>
    <t>กระแสรายวัน</t>
  </si>
  <si>
    <t>รหัสบัญชี
GFMIS</t>
  </si>
  <si>
    <t>รายงานจากระบบ
GFMIS</t>
  </si>
  <si>
    <t>รายงานจากระบบ
บัญชี GL</t>
  </si>
  <si>
    <t>เงินบำรุงโรงพยาบาลยะลา (UC) (GF # 0612003098)</t>
  </si>
  <si>
    <t>โครงการผ่าตัดเฉลิมพระเกียรติ(แก้วตาดวงใจ) # 9321441538</t>
  </si>
  <si>
    <t>การทำ บช.10 ทุกครั้ง อย่าลืมดูเครื่องหมาย + และเครื่องหมาย -</t>
  </si>
  <si>
    <t>ต้องตรวจสอบอย่างละเอียดอีกครั้ง ก่อนส่งเข้าระบบ</t>
  </si>
  <si>
    <t>***</t>
  </si>
  <si>
    <t>006AQ2</t>
  </si>
  <si>
    <t xml:space="preserve">034C06 </t>
  </si>
  <si>
    <t>006AQ3</t>
  </si>
  <si>
    <t>014079</t>
  </si>
  <si>
    <t>รหัสบัญชีแยกประเภทต้องสังเกตทุกครั้ง ว่าแต่ละบัญชีใช้รหัสอะไร</t>
  </si>
  <si>
    <t>โรงพยาบาลยะลา(เงินนอกงบประมาณ) เงินบำรุง</t>
  </si>
  <si>
    <t>เงินกองทุน uc งบลงทุน</t>
  </si>
  <si>
    <t>020008405472</t>
  </si>
  <si>
    <t>เงินฝากธนาคารเพื่อการเกษตรและสหกรณ์/ยะลา</t>
  </si>
  <si>
    <t> 034C88</t>
  </si>
  <si>
    <t>ถ้าไม่มีผลต่างแสดงว่า ปรับปรุงถูกต้อง</t>
  </si>
  <si>
    <t>Cr</t>
  </si>
  <si>
    <t>Dr</t>
  </si>
  <si>
    <t>ถ้าติดลบ - แสดงว่าต้อง Cr ออก</t>
  </si>
  <si>
    <t>ตรวจสอบนอกรอบ</t>
  </si>
  <si>
    <t>GF คงเหลือ</t>
  </si>
  <si>
    <t>ปป.ทั้งสิ้น</t>
  </si>
  <si>
    <t xml:space="preserve"> </t>
  </si>
  <si>
    <t>โครงการรากฟันเทียมเฉลิมพระเกียรติ 7 รอบ รพ.ยะลา</t>
  </si>
  <si>
    <t>932-0-70612-3</t>
  </si>
  <si>
    <t>เดบิต</t>
  </si>
  <si>
    <t>คชจ.อื่น</t>
  </si>
  <si>
    <t>006CX1</t>
  </si>
  <si>
    <t>เดือนถัดไป เอายอด GL ไปวางใน GF</t>
  </si>
  <si>
    <t>ต้องไม่มียอดคงเหลือ</t>
  </si>
  <si>
    <t>รายได้อื่น4313010199</t>
  </si>
  <si>
    <t>เงินประกันสังคมบริหารจัดการโรงพยาบาลยลา</t>
  </si>
  <si>
    <t>932-0-78179-6</t>
  </si>
  <si>
    <t>เงินฝากฯ</t>
  </si>
  <si>
    <t>เครดิต  เงินฝากฯ</t>
  </si>
  <si>
    <t>006DG7</t>
  </si>
  <si>
    <t>เครดิต  เงินสดในมือ</t>
  </si>
  <si>
    <t>ประจำ</t>
  </si>
  <si>
    <t>เงินฝากธนาคารอาคารสงเคราะห์/ประจำ</t>
  </si>
  <si>
    <t>เงินประกันสังคมพัฒนากิจการโรงพยาบาลยะลา ประจำ 12 เดือน (MI)</t>
  </si>
  <si>
    <t>034G06</t>
  </si>
  <si>
    <t>030121</t>
  </si>
  <si>
    <t>เงินฝากธนาคารออมสิน/สาขายะลา</t>
  </si>
  <si>
    <t>ปป.เงินฝาก</t>
  </si>
  <si>
    <t>เงินบริจาค โรงพยาบาลยะลา</t>
  </si>
  <si>
    <t>006DX1</t>
  </si>
  <si>
    <t>โครงการก่อสร้างอาคารไตเทียม รพ.ยะลา</t>
  </si>
  <si>
    <t>006DZ1</t>
  </si>
  <si>
    <t>****</t>
  </si>
  <si>
    <t>พัฒนาระบบการดูแลผู้ป่วยโรคหลอดเลือดสมอง</t>
  </si>
  <si>
    <t>006EQ2</t>
  </si>
  <si>
    <t>รายงานจากระบบ
บัญชี GFMIS</t>
  </si>
  <si>
    <t>020105132829</t>
  </si>
  <si>
    <t>โรงพยาบาลยะลา (เงินนอกงบประมาณ) (เพื่อการเกษตรและสหกรณ์)</t>
  </si>
  <si>
    <t>034T04</t>
  </si>
  <si>
    <t>คงเหลือในระบบ GFMIS</t>
  </si>
  <si>
    <t>***มีรายการฝากคลังวันไหน อย่าลืมหัก บัญชีนั้นๆ ณ วันเดียวกับที่ฝากคลังเลย</t>
  </si>
  <si>
    <t>ยอดคงเหลือ GFMIS จาก 
บช.01</t>
  </si>
  <si>
    <t>เทียบยอด
จาก GL</t>
  </si>
  <si>
    <t>ยอดรวมหลังปรับปรุง</t>
  </si>
  <si>
    <t>ตรวจผลต่าง 
(AN - AQ)</t>
  </si>
  <si>
    <t>ปรับปรุง
ผ่าน บช.01</t>
  </si>
  <si>
    <t>เครดิต  รายได้อื่น  4313010199</t>
  </si>
  <si>
    <t>เครดิต  เงินฝากธนาคารพาณิช์ 1101030102</t>
  </si>
  <si>
    <t>เดบิต  เงินสดในมือ 11010101010</t>
  </si>
  <si>
    <t xml:space="preserve"> เครดิต  เงินสดในมือ 1101010101</t>
  </si>
  <si>
    <t>006FD6</t>
  </si>
  <si>
    <t>โรงพยาบาลยะลา (เงินนอกงบประมาณ) ธ.ธกส.</t>
  </si>
  <si>
    <t xml:space="preserve">ผลต่าง </t>
  </si>
  <si>
    <t>เดบิต    เงินฝากธนาคารพาณิชย์ฯ  1101030102 (RE)</t>
  </si>
  <si>
    <t>เดบิต ค่าใช้จ่ายอื่น  5212010199 (PP)</t>
  </si>
  <si>
    <t>034T05</t>
  </si>
  <si>
    <t>มิถุนายน</t>
  </si>
  <si>
    <t>006T45</t>
  </si>
  <si>
    <t>ผลต่าง</t>
  </si>
  <si>
    <t>กรกฎาคม</t>
  </si>
  <si>
    <t>โรงพยาบาลยะลา</t>
  </si>
  <si>
    <t>ธกส</t>
  </si>
  <si>
    <t>033035</t>
  </si>
  <si>
    <t>เครดิต  เงินฝากธนาคารพาณิช์ 1101030101</t>
  </si>
  <si>
    <t>สิงหาคม</t>
  </si>
  <si>
    <t>Dr.</t>
  </si>
  <si>
    <t>ตรวจสอบ</t>
  </si>
  <si>
    <t>กันยายน</t>
  </si>
  <si>
    <t>กรุงไทย</t>
  </si>
  <si>
    <t>กองทุนโรคหลอดเลือดสมอง โรงพยาบาลยะลา</t>
  </si>
  <si>
    <t>006077</t>
  </si>
</sst>
</file>

<file path=xl/styles.xml><?xml version="1.0" encoding="utf-8"?>
<styleSheet xmlns="http://schemas.openxmlformats.org/spreadsheetml/2006/main">
  <numFmts count="3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###\-#\-#####\-#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123">
    <font>
      <sz val="10"/>
      <name val="Arial"/>
      <family val="0"/>
    </font>
    <font>
      <sz val="8"/>
      <name val="Arial"/>
      <family val="2"/>
    </font>
    <font>
      <b/>
      <sz val="16"/>
      <name val="DilleniaUPC"/>
      <family val="1"/>
    </font>
    <font>
      <b/>
      <sz val="16"/>
      <color indexed="60"/>
      <name val="DilleniaUPC"/>
      <family val="1"/>
    </font>
    <font>
      <b/>
      <sz val="16"/>
      <color indexed="16"/>
      <name val="DilleniaUPC"/>
      <family val="1"/>
    </font>
    <font>
      <sz val="16"/>
      <name val="DilleniaUPC"/>
      <family val="1"/>
    </font>
    <font>
      <sz val="16"/>
      <color indexed="60"/>
      <name val="DilleniaUPC"/>
      <family val="1"/>
    </font>
    <font>
      <b/>
      <sz val="16"/>
      <color indexed="10"/>
      <name val="DilleniaUPC"/>
      <family val="1"/>
    </font>
    <font>
      <sz val="16"/>
      <color indexed="10"/>
      <name val="DilleniaUPC"/>
      <family val="1"/>
    </font>
    <font>
      <sz val="16"/>
      <color indexed="9"/>
      <name val="DilleniaUPC"/>
      <family val="1"/>
    </font>
    <font>
      <b/>
      <sz val="16"/>
      <color indexed="9"/>
      <name val="DilleniaUPC"/>
      <family val="1"/>
    </font>
    <font>
      <b/>
      <sz val="16"/>
      <color indexed="20"/>
      <name val="DilleniaUPC"/>
      <family val="1"/>
    </font>
    <font>
      <b/>
      <sz val="16"/>
      <color indexed="12"/>
      <name val="DilleniaUPC"/>
      <family val="1"/>
    </font>
    <font>
      <b/>
      <i/>
      <u val="singleAccounting"/>
      <sz val="16"/>
      <color indexed="60"/>
      <name val="DilleniaUPC"/>
      <family val="1"/>
    </font>
    <font>
      <b/>
      <i/>
      <sz val="16"/>
      <color indexed="16"/>
      <name val="DilleniaUPC"/>
      <family val="1"/>
    </font>
    <font>
      <sz val="16"/>
      <color indexed="12"/>
      <name val="DilleniaUPC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i/>
      <sz val="16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6"/>
      <name val="DilleniaUPC"/>
      <family val="1"/>
    </font>
    <font>
      <i/>
      <sz val="16"/>
      <color indexed="10"/>
      <name val="DilleniaUPC"/>
      <family val="1"/>
    </font>
    <font>
      <b/>
      <i/>
      <sz val="16"/>
      <color indexed="10"/>
      <name val="DilleniaUPC"/>
      <family val="1"/>
    </font>
    <font>
      <b/>
      <sz val="16"/>
      <color indexed="56"/>
      <name val="DilleniaUPC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56"/>
      <name val="Angsana New"/>
      <family val="1"/>
    </font>
    <font>
      <sz val="16"/>
      <color indexed="56"/>
      <name val="DilleniaUPC"/>
      <family val="1"/>
    </font>
    <font>
      <sz val="14"/>
      <color indexed="56"/>
      <name val="DilleniaUPC"/>
      <family val="1"/>
    </font>
    <font>
      <i/>
      <sz val="16"/>
      <color indexed="56"/>
      <name val="DilleniaUPC"/>
      <family val="1"/>
    </font>
    <font>
      <sz val="12"/>
      <color indexed="56"/>
      <name val="DilleniaUPC"/>
      <family val="1"/>
    </font>
    <font>
      <b/>
      <sz val="16"/>
      <color indexed="56"/>
      <name val="Angsana New"/>
      <family val="1"/>
    </font>
    <font>
      <i/>
      <sz val="16"/>
      <color indexed="56"/>
      <name val="Angsana New"/>
      <family val="1"/>
    </font>
    <font>
      <b/>
      <sz val="16"/>
      <color indexed="60"/>
      <name val="Angsana New"/>
      <family val="1"/>
    </font>
    <font>
      <sz val="16"/>
      <color indexed="60"/>
      <name val="Angsana New"/>
      <family val="1"/>
    </font>
    <font>
      <sz val="16"/>
      <color indexed="30"/>
      <name val="Angsana New"/>
      <family val="1"/>
    </font>
    <font>
      <i/>
      <sz val="16"/>
      <color indexed="10"/>
      <name val="Angsana New"/>
      <family val="1"/>
    </font>
    <font>
      <b/>
      <sz val="14"/>
      <color indexed="6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i/>
      <sz val="14"/>
      <color indexed="10"/>
      <name val="Angsana New"/>
      <family val="1"/>
    </font>
    <font>
      <sz val="14"/>
      <color indexed="60"/>
      <name val="Angsana New"/>
      <family val="1"/>
    </font>
    <font>
      <sz val="14"/>
      <color indexed="30"/>
      <name val="Angsana New"/>
      <family val="1"/>
    </font>
    <font>
      <b/>
      <sz val="14"/>
      <color indexed="56"/>
      <name val="Angsana New"/>
      <family val="1"/>
    </font>
    <font>
      <b/>
      <sz val="14"/>
      <color indexed="13"/>
      <name val="Angsana New"/>
      <family val="1"/>
    </font>
    <font>
      <sz val="14"/>
      <color indexed="56"/>
      <name val="Angsana New"/>
      <family val="1"/>
    </font>
    <font>
      <b/>
      <sz val="14"/>
      <color indexed="8"/>
      <name val="Angsana New"/>
      <family val="1"/>
    </font>
    <font>
      <sz val="14"/>
      <color indexed="17"/>
      <name val="Angsana New"/>
      <family val="1"/>
    </font>
    <font>
      <b/>
      <sz val="14"/>
      <color indexed="17"/>
      <name val="Angsana New"/>
      <family val="1"/>
    </font>
    <font>
      <sz val="14"/>
      <color indexed="1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DilleniaUPC"/>
      <family val="1"/>
    </font>
    <font>
      <b/>
      <sz val="16"/>
      <color rgb="FF7030A0"/>
      <name val="DilleniaUPC"/>
      <family val="1"/>
    </font>
    <font>
      <i/>
      <sz val="16"/>
      <color rgb="FFFF0000"/>
      <name val="DilleniaUPC"/>
      <family val="1"/>
    </font>
    <font>
      <b/>
      <i/>
      <sz val="16"/>
      <color rgb="FFFF0000"/>
      <name val="DilleniaUPC"/>
      <family val="1"/>
    </font>
    <font>
      <b/>
      <sz val="16"/>
      <color rgb="FF002060"/>
      <name val="DilleniaUPC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6"/>
      <color rgb="FF002060"/>
      <name val="Angsana New"/>
      <family val="1"/>
    </font>
    <font>
      <sz val="16"/>
      <color rgb="FF002060"/>
      <name val="DilleniaUPC"/>
      <family val="1"/>
    </font>
    <font>
      <sz val="14"/>
      <color rgb="FF002060"/>
      <name val="DilleniaUPC"/>
      <family val="1"/>
    </font>
    <font>
      <i/>
      <sz val="16"/>
      <color rgb="FF002060"/>
      <name val="DilleniaUPC"/>
      <family val="1"/>
    </font>
    <font>
      <sz val="12"/>
      <color rgb="FF002060"/>
      <name val="DilleniaUPC"/>
      <family val="1"/>
    </font>
    <font>
      <b/>
      <sz val="16"/>
      <color rgb="FF002060"/>
      <name val="Angsana New"/>
      <family val="1"/>
    </font>
    <font>
      <i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sz val="16"/>
      <color rgb="FFC00000"/>
      <name val="Angsana New"/>
      <family val="1"/>
    </font>
    <font>
      <sz val="16"/>
      <color rgb="FF0070C0"/>
      <name val="Angsana New"/>
      <family val="1"/>
    </font>
    <font>
      <i/>
      <sz val="16"/>
      <color rgb="FFFF0000"/>
      <name val="Angsana New"/>
      <family val="1"/>
    </font>
    <font>
      <b/>
      <sz val="14"/>
      <color rgb="FFC00000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i/>
      <sz val="14"/>
      <color rgb="FFFF0000"/>
      <name val="Angsana New"/>
      <family val="1"/>
    </font>
    <font>
      <sz val="14"/>
      <color rgb="FFC00000"/>
      <name val="Angsana New"/>
      <family val="1"/>
    </font>
    <font>
      <sz val="14"/>
      <color rgb="FF0070C0"/>
      <name val="Angsana New"/>
      <family val="1"/>
    </font>
    <font>
      <b/>
      <sz val="14"/>
      <color rgb="FF002060"/>
      <name val="Angsana New"/>
      <family val="1"/>
    </font>
    <font>
      <b/>
      <sz val="14"/>
      <color rgb="FFFFFF00"/>
      <name val="Angsana New"/>
      <family val="1"/>
    </font>
    <font>
      <sz val="14"/>
      <color rgb="FF002060"/>
      <name val="Angsana New"/>
      <family val="1"/>
    </font>
    <font>
      <b/>
      <sz val="14"/>
      <color theme="1"/>
      <name val="Angsana New"/>
      <family val="1"/>
    </font>
    <font>
      <sz val="14"/>
      <color rgb="FF00B050"/>
      <name val="Angsana New"/>
      <family val="1"/>
    </font>
    <font>
      <b/>
      <sz val="14"/>
      <color rgb="FF00B050"/>
      <name val="Angsana New"/>
      <family val="1"/>
    </font>
    <font>
      <sz val="14"/>
      <color rgb="FFFFFF00"/>
      <name val="Angsana New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1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2" applyNumberFormat="0" applyAlignment="0" applyProtection="0"/>
    <xf numFmtId="0" fontId="81" fillId="0" borderId="3" applyNumberFormat="0" applyFill="0" applyAlignment="0" applyProtection="0"/>
    <xf numFmtId="0" fontId="82" fillId="21" borderId="0" applyNumberFormat="0" applyBorder="0" applyAlignment="0" applyProtection="0"/>
    <xf numFmtId="0" fontId="83" fillId="22" borderId="1" applyNumberFormat="0" applyAlignment="0" applyProtection="0"/>
    <xf numFmtId="0" fontId="84" fillId="23" borderId="0" applyNumberFormat="0" applyBorder="0" applyAlignment="0" applyProtection="0"/>
    <xf numFmtId="0" fontId="85" fillId="0" borderId="4" applyNumberFormat="0" applyFill="0" applyAlignment="0" applyProtection="0"/>
    <xf numFmtId="0" fontId="8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87" fillId="19" borderId="5" applyNumberFormat="0" applyAlignment="0" applyProtection="0"/>
    <xf numFmtId="0" fontId="0" fillId="31" borderId="6" applyNumberFormat="0" applyFont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05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3" fontId="3" fillId="0" borderId="10" xfId="3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05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3" fontId="6" fillId="0" borderId="10" xfId="33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05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43" fontId="6" fillId="0" borderId="10" xfId="33" applyFont="1" applyFill="1" applyBorder="1" applyAlignment="1">
      <alignment/>
    </xf>
    <xf numFmtId="43" fontId="5" fillId="0" borderId="10" xfId="33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205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43" fontId="3" fillId="0" borderId="10" xfId="33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0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3" fontId="8" fillId="0" borderId="10" xfId="33" applyFont="1" applyFill="1" applyBorder="1" applyAlignment="1">
      <alignment/>
    </xf>
    <xf numFmtId="43" fontId="7" fillId="0" borderId="10" xfId="0" applyNumberFormat="1" applyFont="1" applyFill="1" applyBorder="1" applyAlignment="1">
      <alignment horizontal="center"/>
    </xf>
    <xf numFmtId="43" fontId="8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43" fontId="5" fillId="32" borderId="10" xfId="33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43" fontId="8" fillId="32" borderId="10" xfId="33" applyFont="1" applyFill="1" applyBorder="1" applyAlignment="1">
      <alignment/>
    </xf>
    <xf numFmtId="43" fontId="5" fillId="32" borderId="10" xfId="0" applyNumberFormat="1" applyFont="1" applyFill="1" applyBorder="1" applyAlignment="1">
      <alignment/>
    </xf>
    <xf numFmtId="43" fontId="8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3" fontId="9" fillId="33" borderId="10" xfId="33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3" fontId="8" fillId="33" borderId="10" xfId="33" applyFont="1" applyFill="1" applyBorder="1" applyAlignment="1">
      <alignment/>
    </xf>
    <xf numFmtId="43" fontId="9" fillId="33" borderId="10" xfId="0" applyNumberFormat="1" applyFont="1" applyFill="1" applyBorder="1" applyAlignment="1">
      <alignment/>
    </xf>
    <xf numFmtId="43" fontId="5" fillId="0" borderId="11" xfId="33" applyFont="1" applyFill="1" applyBorder="1" applyAlignment="1">
      <alignment/>
    </xf>
    <xf numFmtId="43" fontId="7" fillId="32" borderId="10" xfId="33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43" fontId="5" fillId="0" borderId="12" xfId="33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3" fontId="5" fillId="34" borderId="10" xfId="33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3" fontId="8" fillId="34" borderId="10" xfId="33" applyFont="1" applyFill="1" applyBorder="1" applyAlignment="1">
      <alignment/>
    </xf>
    <xf numFmtId="43" fontId="5" fillId="34" borderId="10" xfId="0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3" fontId="5" fillId="0" borderId="13" xfId="33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43" fontId="5" fillId="0" borderId="14" xfId="33" applyFont="1" applyFill="1" applyBorder="1" applyAlignment="1">
      <alignment horizontal="center"/>
    </xf>
    <xf numFmtId="43" fontId="3" fillId="0" borderId="15" xfId="33" applyFont="1" applyFill="1" applyBorder="1" applyAlignment="1">
      <alignment/>
    </xf>
    <xf numFmtId="0" fontId="5" fillId="0" borderId="10" xfId="0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3" fillId="0" borderId="12" xfId="33" applyFont="1" applyFill="1" applyBorder="1" applyAlignment="1">
      <alignment/>
    </xf>
    <xf numFmtId="43" fontId="12" fillId="35" borderId="16" xfId="33" applyFont="1" applyFill="1" applyBorder="1" applyAlignment="1">
      <alignment/>
    </xf>
    <xf numFmtId="43" fontId="12" fillId="35" borderId="12" xfId="33" applyFont="1" applyFill="1" applyBorder="1" applyAlignment="1">
      <alignment/>
    </xf>
    <xf numFmtId="43" fontId="14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43" fontId="12" fillId="0" borderId="10" xfId="33" applyFont="1" applyFill="1" applyBorder="1" applyAlignment="1">
      <alignment horizontal="center"/>
    </xf>
    <xf numFmtId="43" fontId="15" fillId="0" borderId="10" xfId="33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05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3" fontId="7" fillId="0" borderId="10" xfId="33" applyFont="1" applyFill="1" applyBorder="1" applyAlignment="1">
      <alignment/>
    </xf>
    <xf numFmtId="205" fontId="12" fillId="0" borderId="10" xfId="0" applyNumberFormat="1" applyFont="1" applyFill="1" applyBorder="1" applyAlignment="1">
      <alignment horizontal="center"/>
    </xf>
    <xf numFmtId="0" fontId="12" fillId="4" borderId="10" xfId="0" applyNumberFormat="1" applyFont="1" applyFill="1" applyBorder="1" applyAlignment="1">
      <alignment horizontal="left"/>
    </xf>
    <xf numFmtId="43" fontId="12" fillId="4" borderId="10" xfId="33" applyFont="1" applyFill="1" applyBorder="1" applyAlignment="1">
      <alignment/>
    </xf>
    <xf numFmtId="0" fontId="1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/>
    </xf>
    <xf numFmtId="1" fontId="12" fillId="4" borderId="10" xfId="33" applyNumberFormat="1" applyFont="1" applyFill="1" applyBorder="1" applyAlignment="1">
      <alignment horizontal="left"/>
    </xf>
    <xf numFmtId="43" fontId="7" fillId="0" borderId="10" xfId="0" applyNumberFormat="1" applyFont="1" applyFill="1" applyBorder="1" applyAlignment="1">
      <alignment/>
    </xf>
    <xf numFmtId="43" fontId="12" fillId="4" borderId="10" xfId="0" applyNumberFormat="1" applyFont="1" applyFill="1" applyBorder="1" applyAlignment="1">
      <alignment/>
    </xf>
    <xf numFmtId="43" fontId="15" fillId="0" borderId="10" xfId="33" applyFont="1" applyFill="1" applyBorder="1" applyAlignment="1">
      <alignment horizontal="center"/>
    </xf>
    <xf numFmtId="0" fontId="12" fillId="4" borderId="10" xfId="0" applyNumberFormat="1" applyFont="1" applyFill="1" applyBorder="1" applyAlignment="1">
      <alignment horizontal="center"/>
    </xf>
    <xf numFmtId="1" fontId="12" fillId="4" borderId="10" xfId="33" applyNumberFormat="1" applyFont="1" applyFill="1" applyBorder="1" applyAlignment="1">
      <alignment horizontal="center"/>
    </xf>
    <xf numFmtId="205" fontId="15" fillId="0" borderId="10" xfId="0" applyNumberFormat="1" applyFont="1" applyFill="1" applyBorder="1" applyAlignment="1">
      <alignment horizontal="center"/>
    </xf>
    <xf numFmtId="43" fontId="92" fillId="0" borderId="10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43" fontId="91" fillId="0" borderId="10" xfId="0" applyNumberFormat="1" applyFont="1" applyFill="1" applyBorder="1" applyAlignment="1">
      <alignment/>
    </xf>
    <xf numFmtId="43" fontId="91" fillId="34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43" fontId="7" fillId="32" borderId="17" xfId="0" applyNumberFormat="1" applyFont="1" applyFill="1" applyBorder="1" applyAlignment="1">
      <alignment/>
    </xf>
    <xf numFmtId="43" fontId="7" fillId="32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/>
    </xf>
    <xf numFmtId="43" fontId="93" fillId="0" borderId="10" xfId="33" applyFont="1" applyFill="1" applyBorder="1" applyAlignment="1">
      <alignment/>
    </xf>
    <xf numFmtId="0" fontId="94" fillId="0" borderId="10" xfId="0" applyFont="1" applyFill="1" applyBorder="1" applyAlignment="1">
      <alignment horizontal="center"/>
    </xf>
    <xf numFmtId="43" fontId="93" fillId="0" borderId="10" xfId="0" applyNumberFormat="1" applyFont="1" applyFill="1" applyBorder="1" applyAlignment="1">
      <alignment/>
    </xf>
    <xf numFmtId="43" fontId="93" fillId="0" borderId="11" xfId="33" applyFont="1" applyFill="1" applyBorder="1" applyAlignment="1">
      <alignment/>
    </xf>
    <xf numFmtId="0" fontId="94" fillId="0" borderId="11" xfId="0" applyFont="1" applyFill="1" applyBorder="1" applyAlignment="1">
      <alignment horizontal="center"/>
    </xf>
    <xf numFmtId="43" fontId="95" fillId="13" borderId="10" xfId="33" applyFont="1" applyFill="1" applyBorder="1" applyAlignment="1">
      <alignment/>
    </xf>
    <xf numFmtId="43" fontId="95" fillId="13" borderId="11" xfId="33" applyFont="1" applyFill="1" applyBorder="1" applyAlignment="1">
      <alignment/>
    </xf>
    <xf numFmtId="0" fontId="5" fillId="0" borderId="12" xfId="0" applyFont="1" applyFill="1" applyBorder="1" applyAlignment="1">
      <alignment/>
    </xf>
    <xf numFmtId="43" fontId="95" fillId="13" borderId="18" xfId="33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205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3" fontId="18" fillId="0" borderId="10" xfId="33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205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43" fontId="16" fillId="0" borderId="10" xfId="33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205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 quotePrefix="1">
      <alignment horizontal="center"/>
    </xf>
    <xf numFmtId="43" fontId="16" fillId="0" borderId="10" xfId="33" applyFont="1" applyFill="1" applyBorder="1" applyAlignment="1">
      <alignment/>
    </xf>
    <xf numFmtId="205" fontId="16" fillId="0" borderId="10" xfId="0" applyNumberFormat="1" applyFont="1" applyFill="1" applyBorder="1" applyAlignment="1" quotePrefix="1">
      <alignment horizontal="center"/>
    </xf>
    <xf numFmtId="0" fontId="16" fillId="0" borderId="10" xfId="0" applyNumberFormat="1" applyFont="1" applyFill="1" applyBorder="1" applyAlignment="1">
      <alignment horizontal="center"/>
    </xf>
    <xf numFmtId="43" fontId="18" fillId="0" borderId="10" xfId="33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05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quotePrefix="1">
      <alignment horizontal="center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05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 quotePrefix="1">
      <alignment horizontal="center"/>
    </xf>
    <xf numFmtId="43" fontId="17" fillId="0" borderId="10" xfId="33" applyFont="1" applyFill="1" applyBorder="1" applyAlignment="1">
      <alignment/>
    </xf>
    <xf numFmtId="205" fontId="17" fillId="0" borderId="10" xfId="0" applyNumberFormat="1" applyFont="1" applyFill="1" applyBorder="1" applyAlignment="1" quotePrefix="1">
      <alignment horizontal="center"/>
    </xf>
    <xf numFmtId="43" fontId="17" fillId="0" borderId="11" xfId="33" applyFont="1" applyFill="1" applyBorder="1" applyAlignment="1">
      <alignment/>
    </xf>
    <xf numFmtId="0" fontId="18" fillId="0" borderId="14" xfId="0" applyNumberFormat="1" applyFont="1" applyFill="1" applyBorder="1" applyAlignment="1" quotePrefix="1">
      <alignment horizontal="center"/>
    </xf>
    <xf numFmtId="43" fontId="16" fillId="0" borderId="12" xfId="33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43" fontId="16" fillId="0" borderId="11" xfId="33" applyFont="1" applyFill="1" applyBorder="1" applyAlignment="1">
      <alignment/>
    </xf>
    <xf numFmtId="205" fontId="16" fillId="0" borderId="14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3" fontId="16" fillId="0" borderId="13" xfId="33" applyFont="1" applyFill="1" applyBorder="1" applyAlignment="1">
      <alignment/>
    </xf>
    <xf numFmtId="43" fontId="16" fillId="0" borderId="10" xfId="0" applyNumberFormat="1" applyFont="1" applyFill="1" applyBorder="1" applyAlignment="1">
      <alignment/>
    </xf>
    <xf numFmtId="43" fontId="16" fillId="0" borderId="14" xfId="33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 vertical="center"/>
    </xf>
    <xf numFmtId="205" fontId="96" fillId="0" borderId="10" xfId="0" applyNumberFormat="1" applyFont="1" applyFill="1" applyBorder="1" applyAlignment="1">
      <alignment horizontal="center" vertical="center"/>
    </xf>
    <xf numFmtId="0" fontId="96" fillId="0" borderId="10" xfId="0" applyNumberFormat="1" applyFont="1" applyFill="1" applyBorder="1" applyAlignment="1">
      <alignment horizontal="center" vertical="center"/>
    </xf>
    <xf numFmtId="43" fontId="96" fillId="0" borderId="10" xfId="33" applyFont="1" applyFill="1" applyBorder="1" applyAlignment="1">
      <alignment horizontal="center" vertical="center"/>
    </xf>
    <xf numFmtId="43" fontId="19" fillId="0" borderId="15" xfId="33" applyFont="1" applyFill="1" applyBorder="1" applyAlignment="1">
      <alignment/>
    </xf>
    <xf numFmtId="43" fontId="96" fillId="7" borderId="10" xfId="33" applyFont="1" applyFill="1" applyBorder="1" applyAlignment="1">
      <alignment/>
    </xf>
    <xf numFmtId="43" fontId="97" fillId="0" borderId="10" xfId="33" applyFont="1" applyFill="1" applyBorder="1" applyAlignment="1">
      <alignment/>
    </xf>
    <xf numFmtId="0" fontId="18" fillId="7" borderId="10" xfId="33" applyNumberFormat="1" applyFont="1" applyFill="1" applyBorder="1" applyAlignment="1">
      <alignment horizontal="center" vertical="center"/>
    </xf>
    <xf numFmtId="43" fontId="16" fillId="7" borderId="10" xfId="33" applyFont="1" applyFill="1" applyBorder="1" applyAlignment="1">
      <alignment horizontal="center" vertical="center"/>
    </xf>
    <xf numFmtId="43" fontId="18" fillId="7" borderId="10" xfId="33" applyFont="1" applyFill="1" applyBorder="1" applyAlignment="1">
      <alignment horizontal="center" vertical="center"/>
    </xf>
    <xf numFmtId="43" fontId="16" fillId="7" borderId="10" xfId="33" applyFont="1" applyFill="1" applyBorder="1" applyAlignment="1">
      <alignment/>
    </xf>
    <xf numFmtId="43" fontId="18" fillId="7" borderId="10" xfId="33" applyFont="1" applyFill="1" applyBorder="1" applyAlignment="1">
      <alignment/>
    </xf>
    <xf numFmtId="43" fontId="17" fillId="7" borderId="10" xfId="33" applyFont="1" applyFill="1" applyBorder="1" applyAlignment="1">
      <alignment/>
    </xf>
    <xf numFmtId="43" fontId="98" fillId="0" borderId="10" xfId="33" applyFont="1" applyFill="1" applyBorder="1" applyAlignment="1">
      <alignment/>
    </xf>
    <xf numFmtId="0" fontId="99" fillId="0" borderId="10" xfId="0" applyFont="1" applyFill="1" applyBorder="1" applyAlignment="1">
      <alignment horizontal="left"/>
    </xf>
    <xf numFmtId="205" fontId="99" fillId="0" borderId="1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 quotePrefix="1">
      <alignment horizontal="center"/>
    </xf>
    <xf numFmtId="0" fontId="100" fillId="0" borderId="10" xfId="0" applyFont="1" applyFill="1" applyBorder="1" applyAlignment="1">
      <alignment horizontal="left"/>
    </xf>
    <xf numFmtId="0" fontId="101" fillId="0" borderId="10" xfId="0" applyFont="1" applyFill="1" applyBorder="1" applyAlignment="1">
      <alignment horizontal="left"/>
    </xf>
    <xf numFmtId="205" fontId="101" fillId="0" borderId="10" xfId="0" applyNumberFormat="1" applyFont="1" applyFill="1" applyBorder="1" applyAlignment="1">
      <alignment horizontal="center"/>
    </xf>
    <xf numFmtId="0" fontId="101" fillId="0" borderId="10" xfId="0" applyNumberFormat="1" applyFont="1" applyFill="1" applyBorder="1" applyAlignment="1" quotePrefix="1">
      <alignment horizontal="center"/>
    </xf>
    <xf numFmtId="205" fontId="101" fillId="0" borderId="10" xfId="0" applyNumberFormat="1" applyFont="1" applyFill="1" applyBorder="1" applyAlignment="1" quotePrefix="1">
      <alignment horizontal="center"/>
    </xf>
    <xf numFmtId="0" fontId="95" fillId="0" borderId="10" xfId="0" applyFont="1" applyFill="1" applyBorder="1" applyAlignment="1">
      <alignment horizontal="left"/>
    </xf>
    <xf numFmtId="205" fontId="95" fillId="0" borderId="10" xfId="0" applyNumberFormat="1" applyFont="1" applyFill="1" applyBorder="1" applyAlignment="1" quotePrefix="1">
      <alignment horizontal="center"/>
    </xf>
    <xf numFmtId="0" fontId="95" fillId="0" borderId="14" xfId="0" applyNumberFormat="1" applyFont="1" applyFill="1" applyBorder="1" applyAlignment="1" quotePrefix="1">
      <alignment horizontal="center"/>
    </xf>
    <xf numFmtId="205" fontId="99" fillId="0" borderId="10" xfId="0" applyNumberFormat="1" applyFont="1" applyFill="1" applyBorder="1" applyAlignment="1" quotePrefix="1">
      <alignment horizontal="center"/>
    </xf>
    <xf numFmtId="0" fontId="99" fillId="0" borderId="10" xfId="0" applyNumberFormat="1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205" fontId="99" fillId="0" borderId="14" xfId="0" applyNumberFormat="1" applyFont="1" applyFill="1" applyBorder="1" applyAlignment="1">
      <alignment horizontal="center"/>
    </xf>
    <xf numFmtId="49" fontId="99" fillId="0" borderId="10" xfId="0" applyNumberFormat="1" applyFont="1" applyFill="1" applyBorder="1" applyAlignment="1" applyProtection="1">
      <alignment horizontal="center" vertical="center"/>
      <protection locked="0"/>
    </xf>
    <xf numFmtId="0" fontId="102" fillId="0" borderId="10" xfId="0" applyFont="1" applyFill="1" applyBorder="1" applyAlignment="1">
      <alignment horizontal="left"/>
    </xf>
    <xf numFmtId="205" fontId="99" fillId="0" borderId="14" xfId="0" applyNumberFormat="1" applyFont="1" applyFill="1" applyBorder="1" applyAlignment="1" quotePrefix="1">
      <alignment horizontal="center"/>
    </xf>
    <xf numFmtId="43" fontId="18" fillId="0" borderId="10" xfId="0" applyNumberFormat="1" applyFont="1" applyFill="1" applyBorder="1" applyAlignment="1">
      <alignment/>
    </xf>
    <xf numFmtId="205" fontId="16" fillId="34" borderId="10" xfId="0" applyNumberFormat="1" applyFont="1" applyFill="1" applyBorder="1" applyAlignment="1">
      <alignment horizontal="center"/>
    </xf>
    <xf numFmtId="205" fontId="18" fillId="34" borderId="10" xfId="0" applyNumberFormat="1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43" fontId="16" fillId="0" borderId="18" xfId="33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3" fontId="12" fillId="0" borderId="10" xfId="33" applyFont="1" applyFill="1" applyBorder="1" applyAlignment="1">
      <alignment/>
    </xf>
    <xf numFmtId="1" fontId="12" fillId="0" borderId="10" xfId="33" applyNumberFormat="1" applyFont="1" applyFill="1" applyBorder="1" applyAlignment="1">
      <alignment horizontal="left"/>
    </xf>
    <xf numFmtId="1" fontId="12" fillId="0" borderId="10" xfId="33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right"/>
    </xf>
    <xf numFmtId="43" fontId="18" fillId="0" borderId="18" xfId="0" applyNumberFormat="1" applyFont="1" applyFill="1" applyBorder="1" applyAlignment="1">
      <alignment/>
    </xf>
    <xf numFmtId="43" fontId="12" fillId="0" borderId="10" xfId="33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43" fontId="16" fillId="0" borderId="10" xfId="33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0" xfId="0" applyFont="1" applyFill="1" applyBorder="1" applyAlignment="1">
      <alignment/>
    </xf>
    <xf numFmtId="205" fontId="16" fillId="6" borderId="10" xfId="0" applyNumberFormat="1" applyFont="1" applyFill="1" applyBorder="1" applyAlignment="1">
      <alignment horizontal="center"/>
    </xf>
    <xf numFmtId="0" fontId="16" fillId="6" borderId="10" xfId="0" applyNumberFormat="1" applyFont="1" applyFill="1" applyBorder="1" applyAlignment="1" quotePrefix="1">
      <alignment horizontal="center"/>
    </xf>
    <xf numFmtId="43" fontId="16" fillId="6" borderId="10" xfId="33" applyFont="1" applyFill="1" applyBorder="1" applyAlignment="1">
      <alignment/>
    </xf>
    <xf numFmtId="43" fontId="96" fillId="6" borderId="10" xfId="33" applyFont="1" applyFill="1" applyBorder="1" applyAlignment="1">
      <alignment horizontal="center" vertical="center"/>
    </xf>
    <xf numFmtId="43" fontId="18" fillId="6" borderId="10" xfId="33" applyFont="1" applyFill="1" applyBorder="1" applyAlignment="1">
      <alignment horizontal="center" vertical="center"/>
    </xf>
    <xf numFmtId="43" fontId="18" fillId="6" borderId="10" xfId="33" applyFont="1" applyFill="1" applyBorder="1" applyAlignment="1">
      <alignment horizontal="center" vertical="center" wrapText="1"/>
    </xf>
    <xf numFmtId="43" fontId="96" fillId="6" borderId="11" xfId="33" applyFont="1" applyFill="1" applyBorder="1" applyAlignment="1">
      <alignment horizontal="center" vertical="center"/>
    </xf>
    <xf numFmtId="43" fontId="96" fillId="6" borderId="18" xfId="33" applyFont="1" applyFill="1" applyBorder="1" applyAlignment="1">
      <alignment/>
    </xf>
    <xf numFmtId="43" fontId="18" fillId="6" borderId="10" xfId="33" applyFont="1" applyFill="1" applyBorder="1" applyAlignment="1">
      <alignment/>
    </xf>
    <xf numFmtId="0" fontId="97" fillId="0" borderId="10" xfId="0" applyFont="1" applyFill="1" applyBorder="1" applyAlignment="1">
      <alignment horizontal="center"/>
    </xf>
    <xf numFmtId="0" fontId="97" fillId="0" borderId="10" xfId="0" applyFont="1" applyFill="1" applyBorder="1" applyAlignment="1">
      <alignment/>
    </xf>
    <xf numFmtId="0" fontId="97" fillId="0" borderId="10" xfId="0" applyFont="1" applyFill="1" applyBorder="1" applyAlignment="1">
      <alignment horizontal="left"/>
    </xf>
    <xf numFmtId="205" fontId="97" fillId="0" borderId="10" xfId="0" applyNumberFormat="1" applyFont="1" applyFill="1" applyBorder="1" applyAlignment="1">
      <alignment horizontal="center"/>
    </xf>
    <xf numFmtId="0" fontId="97" fillId="0" borderId="10" xfId="0" applyNumberFormat="1" applyFont="1" applyFill="1" applyBorder="1" applyAlignment="1" quotePrefix="1">
      <alignment horizontal="center"/>
    </xf>
    <xf numFmtId="43" fontId="97" fillId="0" borderId="10" xfId="0" applyNumberFormat="1" applyFont="1" applyFill="1" applyBorder="1" applyAlignment="1">
      <alignment/>
    </xf>
    <xf numFmtId="43" fontId="18" fillId="6" borderId="10" xfId="0" applyNumberFormat="1" applyFont="1" applyFill="1" applyBorder="1" applyAlignment="1">
      <alignment/>
    </xf>
    <xf numFmtId="43" fontId="98" fillId="7" borderId="10" xfId="33" applyFont="1" applyFill="1" applyBorder="1" applyAlignment="1">
      <alignment/>
    </xf>
    <xf numFmtId="43" fontId="103" fillId="7" borderId="10" xfId="33" applyFont="1" applyFill="1" applyBorder="1" applyAlignment="1">
      <alignment horizontal="center" vertical="center"/>
    </xf>
    <xf numFmtId="43" fontId="103" fillId="7" borderId="10" xfId="33" applyFont="1" applyFill="1" applyBorder="1" applyAlignment="1">
      <alignment horizontal="center" vertical="center" wrapText="1"/>
    </xf>
    <xf numFmtId="43" fontId="98" fillId="7" borderId="10" xfId="33" applyFont="1" applyFill="1" applyBorder="1" applyAlignment="1">
      <alignment horizontal="center" vertical="center"/>
    </xf>
    <xf numFmtId="43" fontId="103" fillId="7" borderId="10" xfId="33" applyFont="1" applyFill="1" applyBorder="1" applyAlignment="1">
      <alignment/>
    </xf>
    <xf numFmtId="43" fontId="97" fillId="7" borderId="10" xfId="33" applyFont="1" applyFill="1" applyBorder="1" applyAlignment="1">
      <alignment/>
    </xf>
    <xf numFmtId="43" fontId="104" fillId="7" borderId="10" xfId="33" applyFont="1" applyFill="1" applyBorder="1" applyAlignment="1">
      <alignment/>
    </xf>
    <xf numFmtId="43" fontId="98" fillId="7" borderId="11" xfId="33" applyFont="1" applyFill="1" applyBorder="1" applyAlignment="1">
      <alignment/>
    </xf>
    <xf numFmtId="43" fontId="98" fillId="7" borderId="18" xfId="33" applyFont="1" applyFill="1" applyBorder="1" applyAlignment="1">
      <alignment/>
    </xf>
    <xf numFmtId="43" fontId="12" fillId="0" borderId="10" xfId="0" applyNumberFormat="1" applyFont="1" applyFill="1" applyBorder="1" applyAlignment="1">
      <alignment horizontal="right"/>
    </xf>
    <xf numFmtId="43" fontId="103" fillId="0" borderId="10" xfId="0" applyNumberFormat="1" applyFont="1" applyFill="1" applyBorder="1" applyAlignment="1">
      <alignment horizontal="center"/>
    </xf>
    <xf numFmtId="43" fontId="16" fillId="0" borderId="17" xfId="33" applyFont="1" applyFill="1" applyBorder="1" applyAlignment="1">
      <alignment/>
    </xf>
    <xf numFmtId="43" fontId="16" fillId="6" borderId="11" xfId="33" applyFont="1" applyFill="1" applyBorder="1" applyAlignment="1">
      <alignment/>
    </xf>
    <xf numFmtId="43" fontId="16" fillId="6" borderId="12" xfId="33" applyFont="1" applyFill="1" applyBorder="1" applyAlignment="1">
      <alignment/>
    </xf>
    <xf numFmtId="43" fontId="18" fillId="6" borderId="20" xfId="33" applyFont="1" applyFill="1" applyBorder="1" applyAlignment="1">
      <alignment/>
    </xf>
    <xf numFmtId="43" fontId="20" fillId="7" borderId="10" xfId="33" applyFont="1" applyFill="1" applyBorder="1" applyAlignment="1">
      <alignment/>
    </xf>
    <xf numFmtId="0" fontId="2" fillId="7" borderId="10" xfId="0" applyFont="1" applyFill="1" applyBorder="1" applyAlignment="1">
      <alignment/>
    </xf>
    <xf numFmtId="43" fontId="2" fillId="7" borderId="10" xfId="0" applyNumberFormat="1" applyFont="1" applyFill="1" applyBorder="1" applyAlignment="1">
      <alignment/>
    </xf>
    <xf numFmtId="43" fontId="16" fillId="7" borderId="14" xfId="33" applyFont="1" applyFill="1" applyBorder="1" applyAlignment="1">
      <alignment/>
    </xf>
    <xf numFmtId="205" fontId="97" fillId="0" borderId="14" xfId="0" applyNumberFormat="1" applyFont="1" applyFill="1" applyBorder="1" applyAlignment="1">
      <alignment horizontal="center"/>
    </xf>
    <xf numFmtId="43" fontId="103" fillId="36" borderId="10" xfId="33" applyFont="1" applyFill="1" applyBorder="1" applyAlignment="1">
      <alignment/>
    </xf>
    <xf numFmtId="43" fontId="103" fillId="36" borderId="10" xfId="33" applyFont="1" applyFill="1" applyBorder="1" applyAlignment="1">
      <alignment horizontal="center" vertical="center"/>
    </xf>
    <xf numFmtId="0" fontId="103" fillId="36" borderId="10" xfId="0" applyFont="1" applyFill="1" applyBorder="1" applyAlignment="1">
      <alignment/>
    </xf>
    <xf numFmtId="0" fontId="103" fillId="36" borderId="10" xfId="0" applyFont="1" applyFill="1" applyBorder="1" applyAlignment="1">
      <alignment horizontal="center"/>
    </xf>
    <xf numFmtId="205" fontId="103" fillId="36" borderId="10" xfId="0" applyNumberFormat="1" applyFont="1" applyFill="1" applyBorder="1" applyAlignment="1">
      <alignment horizontal="center"/>
    </xf>
    <xf numFmtId="0" fontId="103" fillId="36" borderId="10" xfId="0" applyNumberFormat="1" applyFont="1" applyFill="1" applyBorder="1" applyAlignment="1" quotePrefix="1">
      <alignment horizontal="center"/>
    </xf>
    <xf numFmtId="43" fontId="18" fillId="34" borderId="20" xfId="33" applyFont="1" applyFill="1" applyBorder="1" applyAlignment="1">
      <alignment/>
    </xf>
    <xf numFmtId="43" fontId="12" fillId="34" borderId="10" xfId="33" applyFont="1" applyFill="1" applyBorder="1" applyAlignment="1" quotePrefix="1">
      <alignment horizontal="center"/>
    </xf>
    <xf numFmtId="43" fontId="12" fillId="34" borderId="10" xfId="33" applyFont="1" applyFill="1" applyBorder="1" applyAlignment="1">
      <alignment horizontal="center"/>
    </xf>
    <xf numFmtId="43" fontId="16" fillId="36" borderId="10" xfId="0" applyNumberFormat="1" applyFont="1" applyFill="1" applyBorder="1" applyAlignment="1">
      <alignment/>
    </xf>
    <xf numFmtId="43" fontId="98" fillId="34" borderId="10" xfId="33" applyFont="1" applyFill="1" applyBorder="1" applyAlignment="1">
      <alignment/>
    </xf>
    <xf numFmtId="43" fontId="18" fillId="36" borderId="10" xfId="0" applyNumberFormat="1" applyFont="1" applyFill="1" applyBorder="1" applyAlignment="1">
      <alignment/>
    </xf>
    <xf numFmtId="43" fontId="23" fillId="0" borderId="10" xfId="33" applyFont="1" applyFill="1" applyBorder="1" applyAlignment="1" quotePrefix="1">
      <alignment horizontal="center"/>
    </xf>
    <xf numFmtId="43" fontId="23" fillId="0" borderId="10" xfId="33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3" fontId="18" fillId="7" borderId="10" xfId="0" applyNumberFormat="1" applyFont="1" applyFill="1" applyBorder="1" applyAlignment="1">
      <alignment/>
    </xf>
    <xf numFmtId="0" fontId="96" fillId="7" borderId="10" xfId="33" applyNumberFormat="1" applyFont="1" applyFill="1" applyBorder="1" applyAlignment="1">
      <alignment horizontal="center" vertical="center"/>
    </xf>
    <xf numFmtId="43" fontId="96" fillId="37" borderId="10" xfId="33" applyFont="1" applyFill="1" applyBorder="1" applyAlignment="1">
      <alignment horizontal="center" vertical="center"/>
    </xf>
    <xf numFmtId="43" fontId="16" fillId="0" borderId="1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43" fontId="16" fillId="0" borderId="11" xfId="0" applyNumberFormat="1" applyFont="1" applyFill="1" applyBorder="1" applyAlignment="1">
      <alignment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96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/>
    </xf>
    <xf numFmtId="43" fontId="96" fillId="36" borderId="10" xfId="0" applyNumberFormat="1" applyFont="1" applyFill="1" applyBorder="1" applyAlignment="1">
      <alignment/>
    </xf>
    <xf numFmtId="43" fontId="18" fillId="36" borderId="11" xfId="0" applyNumberFormat="1" applyFont="1" applyFill="1" applyBorder="1" applyAlignment="1">
      <alignment/>
    </xf>
    <xf numFmtId="43" fontId="18" fillId="36" borderId="18" xfId="0" applyNumberFormat="1" applyFont="1" applyFill="1" applyBorder="1" applyAlignment="1">
      <alignment/>
    </xf>
    <xf numFmtId="0" fontId="18" fillId="36" borderId="12" xfId="0" applyFont="1" applyFill="1" applyBorder="1" applyAlignment="1">
      <alignment/>
    </xf>
    <xf numFmtId="43" fontId="105" fillId="0" borderId="10" xfId="33" applyFont="1" applyFill="1" applyBorder="1" applyAlignment="1">
      <alignment horizontal="center" vertical="center"/>
    </xf>
    <xf numFmtId="43" fontId="105" fillId="0" borderId="10" xfId="33" applyFont="1" applyFill="1" applyBorder="1" applyAlignment="1">
      <alignment horizontal="center" vertical="center" wrapText="1"/>
    </xf>
    <xf numFmtId="43" fontId="105" fillId="0" borderId="11" xfId="33" applyFont="1" applyFill="1" applyBorder="1" applyAlignment="1">
      <alignment horizontal="center" vertical="center"/>
    </xf>
    <xf numFmtId="43" fontId="105" fillId="0" borderId="18" xfId="33" applyFont="1" applyFill="1" applyBorder="1" applyAlignment="1">
      <alignment/>
    </xf>
    <xf numFmtId="43" fontId="105" fillId="0" borderId="10" xfId="33" applyFont="1" applyFill="1" applyBorder="1" applyAlignment="1">
      <alignment/>
    </xf>
    <xf numFmtId="43" fontId="106" fillId="0" borderId="10" xfId="33" applyFont="1" applyFill="1" applyBorder="1" applyAlignment="1">
      <alignment/>
    </xf>
    <xf numFmtId="43" fontId="106" fillId="0" borderId="11" xfId="33" applyFont="1" applyFill="1" applyBorder="1" applyAlignment="1">
      <alignment/>
    </xf>
    <xf numFmtId="43" fontId="105" fillId="0" borderId="20" xfId="33" applyFont="1" applyFill="1" applyBorder="1" applyAlignment="1">
      <alignment/>
    </xf>
    <xf numFmtId="43" fontId="106" fillId="0" borderId="12" xfId="33" applyFont="1" applyFill="1" applyBorder="1" applyAlignment="1">
      <alignment/>
    </xf>
    <xf numFmtId="43" fontId="19" fillId="7" borderId="10" xfId="33" applyFont="1" applyFill="1" applyBorder="1" applyAlignment="1">
      <alignment/>
    </xf>
    <xf numFmtId="43" fontId="19" fillId="7" borderId="10" xfId="33" applyFont="1" applyFill="1" applyBorder="1" applyAlignment="1">
      <alignment horizontal="center"/>
    </xf>
    <xf numFmtId="0" fontId="24" fillId="7" borderId="10" xfId="0" applyFont="1" applyFill="1" applyBorder="1" applyAlignment="1">
      <alignment/>
    </xf>
    <xf numFmtId="1" fontId="19" fillId="7" borderId="10" xfId="33" applyNumberFormat="1" applyFont="1" applyFill="1" applyBorder="1" applyAlignment="1">
      <alignment horizontal="center"/>
    </xf>
    <xf numFmtId="0" fontId="19" fillId="7" borderId="10" xfId="0" applyNumberFormat="1" applyFont="1" applyFill="1" applyBorder="1" applyAlignment="1">
      <alignment horizontal="left"/>
    </xf>
    <xf numFmtId="1" fontId="19" fillId="7" borderId="10" xfId="33" applyNumberFormat="1" applyFont="1" applyFill="1" applyBorder="1" applyAlignment="1">
      <alignment horizontal="left"/>
    </xf>
    <xf numFmtId="0" fontId="19" fillId="7" borderId="19" xfId="0" applyNumberFormat="1" applyFont="1" applyFill="1" applyBorder="1" applyAlignment="1">
      <alignment/>
    </xf>
    <xf numFmtId="0" fontId="19" fillId="7" borderId="14" xfId="0" applyNumberFormat="1" applyFont="1" applyFill="1" applyBorder="1" applyAlignment="1">
      <alignment/>
    </xf>
    <xf numFmtId="43" fontId="19" fillId="7" borderId="10" xfId="33" applyFont="1" applyFill="1" applyBorder="1" applyAlignment="1">
      <alignment horizontal="left"/>
    </xf>
    <xf numFmtId="205" fontId="24" fillId="7" borderId="1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43" fontId="24" fillId="0" borderId="17" xfId="33" applyFont="1" applyFill="1" applyBorder="1" applyAlignment="1">
      <alignment/>
    </xf>
    <xf numFmtId="0" fontId="16" fillId="0" borderId="11" xfId="0" applyFont="1" applyFill="1" applyBorder="1" applyAlignment="1">
      <alignment/>
    </xf>
    <xf numFmtId="43" fontId="16" fillId="0" borderId="21" xfId="33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43" fontId="16" fillId="0" borderId="12" xfId="33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43" fontId="19" fillId="7" borderId="22" xfId="33" applyFont="1" applyFill="1" applyBorder="1" applyAlignment="1" quotePrefix="1">
      <alignment horizontal="center"/>
    </xf>
    <xf numFmtId="43" fontId="19" fillId="7" borderId="23" xfId="33" applyFont="1" applyFill="1" applyBorder="1" applyAlignment="1">
      <alignment/>
    </xf>
    <xf numFmtId="0" fontId="19" fillId="7" borderId="24" xfId="0" applyNumberFormat="1" applyFont="1" applyFill="1" applyBorder="1" applyAlignment="1">
      <alignment horizontal="right"/>
    </xf>
    <xf numFmtId="0" fontId="24" fillId="7" borderId="25" xfId="0" applyFont="1" applyFill="1" applyBorder="1" applyAlignment="1">
      <alignment/>
    </xf>
    <xf numFmtId="43" fontId="19" fillId="7" borderId="24" xfId="0" applyNumberFormat="1" applyFont="1" applyFill="1" applyBorder="1" applyAlignment="1">
      <alignment horizontal="right"/>
    </xf>
    <xf numFmtId="0" fontId="24" fillId="7" borderId="25" xfId="0" applyFont="1" applyFill="1" applyBorder="1" applyAlignment="1">
      <alignment horizontal="center"/>
    </xf>
    <xf numFmtId="0" fontId="24" fillId="7" borderId="24" xfId="0" applyFont="1" applyFill="1" applyBorder="1" applyAlignment="1">
      <alignment/>
    </xf>
    <xf numFmtId="43" fontId="24" fillId="7" borderId="24" xfId="33" applyFont="1" applyFill="1" applyBorder="1" applyAlignment="1">
      <alignment/>
    </xf>
    <xf numFmtId="43" fontId="19" fillId="7" borderId="24" xfId="0" applyNumberFormat="1" applyFont="1" applyFill="1" applyBorder="1" applyAlignment="1">
      <alignment horizontal="center"/>
    </xf>
    <xf numFmtId="0" fontId="24" fillId="7" borderId="26" xfId="0" applyFont="1" applyFill="1" applyBorder="1" applyAlignment="1">
      <alignment horizontal="center"/>
    </xf>
    <xf numFmtId="0" fontId="24" fillId="7" borderId="27" xfId="0" applyFont="1" applyFill="1" applyBorder="1" applyAlignment="1">
      <alignment/>
    </xf>
    <xf numFmtId="43" fontId="24" fillId="7" borderId="27" xfId="33" applyFont="1" applyFill="1" applyBorder="1" applyAlignment="1">
      <alignment horizontal="center"/>
    </xf>
    <xf numFmtId="0" fontId="24" fillId="7" borderId="28" xfId="0" applyNumberFormat="1" applyFont="1" applyFill="1" applyBorder="1" applyAlignment="1">
      <alignment horizontal="center"/>
    </xf>
    <xf numFmtId="43" fontId="106" fillId="0" borderId="10" xfId="33" applyFont="1" applyFill="1" applyBorder="1" applyAlignment="1">
      <alignment horizontal="center" vertical="center"/>
    </xf>
    <xf numFmtId="0" fontId="97" fillId="0" borderId="14" xfId="0" applyNumberFormat="1" applyFont="1" applyFill="1" applyBorder="1" applyAlignment="1" quotePrefix="1">
      <alignment horizontal="center"/>
    </xf>
    <xf numFmtId="205" fontId="97" fillId="0" borderId="10" xfId="0" applyNumberFormat="1" applyFont="1" applyFill="1" applyBorder="1" applyAlignment="1" quotePrefix="1">
      <alignment horizontal="center"/>
    </xf>
    <xf numFmtId="205" fontId="107" fillId="0" borderId="14" xfId="0" applyNumberFormat="1" applyFont="1" applyFill="1" applyBorder="1" applyAlignment="1">
      <alignment horizontal="center"/>
    </xf>
    <xf numFmtId="49" fontId="107" fillId="0" borderId="10" xfId="0" applyNumberFormat="1" applyFont="1" applyFill="1" applyBorder="1" applyAlignment="1" applyProtection="1">
      <alignment horizontal="center" vertical="center"/>
      <protection locked="0"/>
    </xf>
    <xf numFmtId="43" fontId="18" fillId="7" borderId="10" xfId="33" applyFont="1" applyFill="1" applyBorder="1" applyAlignment="1">
      <alignment horizontal="center" vertical="center" wrapText="1"/>
    </xf>
    <xf numFmtId="43" fontId="16" fillId="7" borderId="11" xfId="33" applyFont="1" applyFill="1" applyBorder="1" applyAlignment="1">
      <alignment/>
    </xf>
    <xf numFmtId="43" fontId="16" fillId="7" borderId="18" xfId="33" applyFont="1" applyFill="1" applyBorder="1" applyAlignment="1">
      <alignment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/>
    </xf>
    <xf numFmtId="43" fontId="16" fillId="6" borderId="10" xfId="0" applyNumberFormat="1" applyFont="1" applyFill="1" applyBorder="1" applyAlignment="1">
      <alignment/>
    </xf>
    <xf numFmtId="43" fontId="18" fillId="6" borderId="11" xfId="0" applyNumberFormat="1" applyFont="1" applyFill="1" applyBorder="1" applyAlignment="1">
      <alignment/>
    </xf>
    <xf numFmtId="43" fontId="18" fillId="6" borderId="18" xfId="0" applyNumberFormat="1" applyFont="1" applyFill="1" applyBorder="1" applyAlignment="1">
      <alignment/>
    </xf>
    <xf numFmtId="0" fontId="18" fillId="6" borderId="12" xfId="0" applyFont="1" applyFill="1" applyBorder="1" applyAlignment="1">
      <alignment/>
    </xf>
    <xf numFmtId="0" fontId="18" fillId="34" borderId="10" xfId="33" applyNumberFormat="1" applyFont="1" applyFill="1" applyBorder="1" applyAlignment="1">
      <alignment horizontal="center" vertical="center"/>
    </xf>
    <xf numFmtId="43" fontId="18" fillId="34" borderId="10" xfId="33" applyFont="1" applyFill="1" applyBorder="1" applyAlignment="1">
      <alignment horizontal="center" vertical="center"/>
    </xf>
    <xf numFmtId="43" fontId="16" fillId="34" borderId="10" xfId="33" applyFont="1" applyFill="1" applyBorder="1" applyAlignment="1">
      <alignment horizontal="center" vertical="center"/>
    </xf>
    <xf numFmtId="43" fontId="16" fillId="34" borderId="10" xfId="33" applyFont="1" applyFill="1" applyBorder="1" applyAlignment="1">
      <alignment/>
    </xf>
    <xf numFmtId="43" fontId="18" fillId="34" borderId="10" xfId="33" applyFont="1" applyFill="1" applyBorder="1" applyAlignment="1">
      <alignment/>
    </xf>
    <xf numFmtId="43" fontId="17" fillId="34" borderId="10" xfId="33" applyFont="1" applyFill="1" applyBorder="1" applyAlignment="1">
      <alignment/>
    </xf>
    <xf numFmtId="43" fontId="20" fillId="34" borderId="10" xfId="33" applyFont="1" applyFill="1" applyBorder="1" applyAlignment="1">
      <alignment/>
    </xf>
    <xf numFmtId="43" fontId="18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16" fillId="34" borderId="14" xfId="33" applyFont="1" applyFill="1" applyBorder="1" applyAlignment="1">
      <alignment/>
    </xf>
    <xf numFmtId="43" fontId="96" fillId="34" borderId="10" xfId="33" applyFont="1" applyFill="1" applyBorder="1" applyAlignment="1">
      <alignment/>
    </xf>
    <xf numFmtId="43" fontId="18" fillId="6" borderId="12" xfId="0" applyNumberFormat="1" applyFont="1" applyFill="1" applyBorder="1" applyAlignment="1">
      <alignment/>
    </xf>
    <xf numFmtId="43" fontId="16" fillId="7" borderId="10" xfId="33" applyFont="1" applyFill="1" applyBorder="1" applyAlignment="1">
      <alignment horizontal="center"/>
    </xf>
    <xf numFmtId="0" fontId="96" fillId="34" borderId="10" xfId="33" applyNumberFormat="1" applyFont="1" applyFill="1" applyBorder="1" applyAlignment="1">
      <alignment horizontal="center" vertical="center"/>
    </xf>
    <xf numFmtId="43" fontId="96" fillId="34" borderId="10" xfId="33" applyFont="1" applyFill="1" applyBorder="1" applyAlignment="1">
      <alignment horizontal="center" vertical="center"/>
    </xf>
    <xf numFmtId="43" fontId="97" fillId="34" borderId="10" xfId="33" applyFont="1" applyFill="1" applyBorder="1" applyAlignment="1">
      <alignment horizontal="center" vertical="center"/>
    </xf>
    <xf numFmtId="43" fontId="97" fillId="34" borderId="10" xfId="33" applyFont="1" applyFill="1" applyBorder="1" applyAlignment="1">
      <alignment/>
    </xf>
    <xf numFmtId="43" fontId="108" fillId="34" borderId="10" xfId="33" applyFont="1" applyFill="1" applyBorder="1" applyAlignment="1">
      <alignment/>
    </xf>
    <xf numFmtId="43" fontId="109" fillId="38" borderId="10" xfId="33" applyFont="1" applyFill="1" applyBorder="1" applyAlignment="1">
      <alignment horizontal="center" vertical="center"/>
    </xf>
    <xf numFmtId="43" fontId="19" fillId="0" borderId="10" xfId="33" applyFont="1" applyFill="1" applyBorder="1" applyAlignment="1">
      <alignment horizontal="center" vertical="center"/>
    </xf>
    <xf numFmtId="43" fontId="19" fillId="7" borderId="10" xfId="33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8" borderId="10" xfId="33" applyNumberFormat="1" applyFont="1" applyFill="1" applyBorder="1" applyAlignment="1">
      <alignment horizontal="center" vertical="center"/>
    </xf>
    <xf numFmtId="43" fontId="109" fillId="38" borderId="10" xfId="33" applyFont="1" applyFill="1" applyBorder="1" applyAlignment="1">
      <alignment horizontal="center" vertical="center" wrapText="1"/>
    </xf>
    <xf numFmtId="43" fontId="19" fillId="7" borderId="10" xfId="33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05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3" fontId="24" fillId="0" borderId="10" xfId="0" applyNumberFormat="1" applyFont="1" applyFill="1" applyBorder="1" applyAlignment="1">
      <alignment/>
    </xf>
    <xf numFmtId="43" fontId="19" fillId="38" borderId="10" xfId="33" applyFont="1" applyFill="1" applyBorder="1" applyAlignment="1">
      <alignment horizontal="center" vertical="center"/>
    </xf>
    <xf numFmtId="43" fontId="110" fillId="38" borderId="10" xfId="33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205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43" fontId="24" fillId="38" borderId="10" xfId="33" applyFont="1" applyFill="1" applyBorder="1" applyAlignment="1">
      <alignment horizontal="center" vertical="center"/>
    </xf>
    <xf numFmtId="43" fontId="111" fillId="38" borderId="10" xfId="33" applyFont="1" applyFill="1" applyBorder="1" applyAlignment="1">
      <alignment horizontal="center" vertical="center"/>
    </xf>
    <xf numFmtId="43" fontId="24" fillId="0" borderId="10" xfId="33" applyFont="1" applyFill="1" applyBorder="1" applyAlignment="1">
      <alignment horizontal="center" vertical="center"/>
    </xf>
    <xf numFmtId="43" fontId="24" fillId="7" borderId="10" xfId="33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205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 quotePrefix="1">
      <alignment horizontal="center"/>
    </xf>
    <xf numFmtId="43" fontId="24" fillId="38" borderId="10" xfId="33" applyFont="1" applyFill="1" applyBorder="1" applyAlignment="1">
      <alignment/>
    </xf>
    <xf numFmtId="43" fontId="19" fillId="38" borderId="10" xfId="33" applyFont="1" applyFill="1" applyBorder="1" applyAlignment="1">
      <alignment/>
    </xf>
    <xf numFmtId="43" fontId="111" fillId="38" borderId="10" xfId="33" applyFont="1" applyFill="1" applyBorder="1" applyAlignment="1">
      <alignment/>
    </xf>
    <xf numFmtId="43" fontId="24" fillId="0" borderId="10" xfId="33" applyFont="1" applyFill="1" applyBorder="1" applyAlignment="1">
      <alignment/>
    </xf>
    <xf numFmtId="43" fontId="24" fillId="7" borderId="10" xfId="33" applyFont="1" applyFill="1" applyBorder="1" applyAlignment="1">
      <alignment/>
    </xf>
    <xf numFmtId="0" fontId="19" fillId="6" borderId="10" xfId="0" applyFont="1" applyFill="1" applyBorder="1" applyAlignment="1">
      <alignment/>
    </xf>
    <xf numFmtId="205" fontId="24" fillId="0" borderId="10" xfId="0" applyNumberFormat="1" applyFont="1" applyFill="1" applyBorder="1" applyAlignment="1" quotePrefix="1">
      <alignment horizontal="center"/>
    </xf>
    <xf numFmtId="0" fontId="24" fillId="0" borderId="10" xfId="0" applyNumberFormat="1" applyFont="1" applyFill="1" applyBorder="1" applyAlignment="1">
      <alignment horizontal="center"/>
    </xf>
    <xf numFmtId="43" fontId="19" fillId="6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205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quotePrefix="1">
      <alignment horizontal="center"/>
    </xf>
    <xf numFmtId="43" fontId="19" fillId="0" borderId="10" xfId="33" applyFont="1" applyFill="1" applyBorder="1" applyAlignment="1">
      <alignment/>
    </xf>
    <xf numFmtId="43" fontId="110" fillId="38" borderId="10" xfId="33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205" fontId="111" fillId="0" borderId="10" xfId="0" applyNumberFormat="1" applyFont="1" applyFill="1" applyBorder="1" applyAlignment="1">
      <alignment horizontal="center"/>
    </xf>
    <xf numFmtId="0" fontId="111" fillId="0" borderId="10" xfId="0" applyNumberFormat="1" applyFont="1" applyFill="1" applyBorder="1" applyAlignment="1" quotePrefix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205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 quotePrefix="1">
      <alignment horizontal="center"/>
    </xf>
    <xf numFmtId="43" fontId="25" fillId="0" borderId="10" xfId="33" applyFont="1" applyFill="1" applyBorder="1" applyAlignment="1">
      <alignment/>
    </xf>
    <xf numFmtId="43" fontId="25" fillId="38" borderId="10" xfId="33" applyFont="1" applyFill="1" applyBorder="1" applyAlignment="1">
      <alignment/>
    </xf>
    <xf numFmtId="43" fontId="26" fillId="38" borderId="10" xfId="33" applyFont="1" applyFill="1" applyBorder="1" applyAlignment="1">
      <alignment/>
    </xf>
    <xf numFmtId="43" fontId="112" fillId="38" borderId="10" xfId="33" applyFont="1" applyFill="1" applyBorder="1" applyAlignment="1">
      <alignment/>
    </xf>
    <xf numFmtId="43" fontId="25" fillId="7" borderId="10" xfId="33" applyFont="1" applyFill="1" applyBorder="1" applyAlignment="1">
      <alignment/>
    </xf>
    <xf numFmtId="205" fontId="25" fillId="0" borderId="10" xfId="0" applyNumberFormat="1" applyFont="1" applyFill="1" applyBorder="1" applyAlignment="1" quotePrefix="1">
      <alignment horizontal="center"/>
    </xf>
    <xf numFmtId="205" fontId="111" fillId="0" borderId="10" xfId="0" applyNumberFormat="1" applyFont="1" applyFill="1" applyBorder="1" applyAlignment="1" quotePrefix="1">
      <alignment horizontal="center"/>
    </xf>
    <xf numFmtId="0" fontId="111" fillId="0" borderId="14" xfId="0" applyNumberFormat="1" applyFont="1" applyFill="1" applyBorder="1" applyAlignment="1" quotePrefix="1">
      <alignment horizontal="center"/>
    </xf>
    <xf numFmtId="43" fontId="113" fillId="38" borderId="10" xfId="33" applyFont="1" applyFill="1" applyBorder="1" applyAlignment="1">
      <alignment horizontal="center" vertical="center"/>
    </xf>
    <xf numFmtId="43" fontId="24" fillId="6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205" fontId="24" fillId="0" borderId="14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205" fontId="114" fillId="0" borderId="14" xfId="0" applyNumberFormat="1" applyFont="1" applyFill="1" applyBorder="1" applyAlignment="1">
      <alignment horizontal="center"/>
    </xf>
    <xf numFmtId="49" fontId="114" fillId="0" borderId="10" xfId="0" applyNumberFormat="1" applyFont="1" applyFill="1" applyBorder="1" applyAlignment="1" applyProtection="1">
      <alignment horizontal="center" vertical="center"/>
      <protection locked="0"/>
    </xf>
    <xf numFmtId="43" fontId="24" fillId="0" borderId="11" xfId="33" applyFont="1" applyFill="1" applyBorder="1" applyAlignment="1">
      <alignment/>
    </xf>
    <xf numFmtId="43" fontId="109" fillId="38" borderId="11" xfId="33" applyFont="1" applyFill="1" applyBorder="1" applyAlignment="1">
      <alignment horizontal="center" vertical="center"/>
    </xf>
    <xf numFmtId="43" fontId="24" fillId="7" borderId="11" xfId="33" applyFont="1" applyFill="1" applyBorder="1" applyAlignment="1">
      <alignment/>
    </xf>
    <xf numFmtId="43" fontId="19" fillId="6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43" fontId="24" fillId="0" borderId="11" xfId="0" applyNumberFormat="1" applyFont="1" applyFill="1" applyBorder="1" applyAlignment="1">
      <alignment/>
    </xf>
    <xf numFmtId="43" fontId="24" fillId="0" borderId="21" xfId="33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43" fontId="19" fillId="39" borderId="10" xfId="33" applyFont="1" applyFill="1" applyBorder="1" applyAlignment="1">
      <alignment/>
    </xf>
    <xf numFmtId="43" fontId="110" fillId="39" borderId="10" xfId="33" applyFont="1" applyFill="1" applyBorder="1" applyAlignment="1">
      <alignment/>
    </xf>
    <xf numFmtId="43" fontId="109" fillId="39" borderId="18" xfId="33" applyFont="1" applyFill="1" applyBorder="1" applyAlignment="1">
      <alignment/>
    </xf>
    <xf numFmtId="43" fontId="24" fillId="0" borderId="18" xfId="33" applyFont="1" applyFill="1" applyBorder="1" applyAlignment="1">
      <alignment/>
    </xf>
    <xf numFmtId="43" fontId="24" fillId="7" borderId="18" xfId="33" applyFont="1" applyFill="1" applyBorder="1" applyAlignment="1">
      <alignment/>
    </xf>
    <xf numFmtId="43" fontId="19" fillId="6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43" fontId="19" fillId="0" borderId="10" xfId="0" applyNumberFormat="1" applyFont="1" applyFill="1" applyBorder="1" applyAlignment="1">
      <alignment/>
    </xf>
    <xf numFmtId="43" fontId="115" fillId="7" borderId="22" xfId="33" applyFont="1" applyFill="1" applyBorder="1" applyAlignment="1" quotePrefix="1">
      <alignment horizontal="center"/>
    </xf>
    <xf numFmtId="43" fontId="115" fillId="7" borderId="23" xfId="33" applyFont="1" applyFill="1" applyBorder="1" applyAlignment="1">
      <alignment/>
    </xf>
    <xf numFmtId="0" fontId="115" fillId="0" borderId="17" xfId="0" applyFont="1" applyFill="1" applyBorder="1" applyAlignment="1">
      <alignment horizontal="center"/>
    </xf>
    <xf numFmtId="43" fontId="115" fillId="38" borderId="10" xfId="0" applyNumberFormat="1" applyFont="1" applyFill="1" applyBorder="1" applyAlignment="1">
      <alignment/>
    </xf>
    <xf numFmtId="43" fontId="116" fillId="40" borderId="10" xfId="33" applyFont="1" applyFill="1" applyBorder="1" applyAlignment="1">
      <alignment/>
    </xf>
    <xf numFmtId="43" fontId="117" fillId="0" borderId="10" xfId="33" applyFont="1" applyFill="1" applyBorder="1" applyAlignment="1">
      <alignment/>
    </xf>
    <xf numFmtId="43" fontId="117" fillId="7" borderId="10" xfId="33" applyFont="1" applyFill="1" applyBorder="1" applyAlignment="1">
      <alignment/>
    </xf>
    <xf numFmtId="0" fontId="115" fillId="6" borderId="12" xfId="0" applyFont="1" applyFill="1" applyBorder="1" applyAlignment="1">
      <alignment/>
    </xf>
    <xf numFmtId="0" fontId="117" fillId="0" borderId="10" xfId="0" applyFont="1" applyFill="1" applyBorder="1" applyAlignment="1">
      <alignment horizontal="center"/>
    </xf>
    <xf numFmtId="0" fontId="117" fillId="0" borderId="10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43" fontId="113" fillId="38" borderId="10" xfId="33" applyFont="1" applyFill="1" applyBorder="1" applyAlignment="1">
      <alignment/>
    </xf>
    <xf numFmtId="43" fontId="19" fillId="38" borderId="10" xfId="0" applyNumberFormat="1" applyFont="1" applyFill="1" applyBorder="1" applyAlignment="1">
      <alignment/>
    </xf>
    <xf numFmtId="43" fontId="113" fillId="38" borderId="11" xfId="33" applyFont="1" applyFill="1" applyBorder="1" applyAlignment="1">
      <alignment/>
    </xf>
    <xf numFmtId="43" fontId="24" fillId="38" borderId="14" xfId="33" applyFont="1" applyFill="1" applyBorder="1" applyAlignment="1">
      <alignment/>
    </xf>
    <xf numFmtId="43" fontId="109" fillId="38" borderId="20" xfId="33" applyFont="1" applyFill="1" applyBorder="1" applyAlignment="1">
      <alignment/>
    </xf>
    <xf numFmtId="43" fontId="113" fillId="38" borderId="12" xfId="33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3" fontId="24" fillId="0" borderId="12" xfId="33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43" fontId="24" fillId="0" borderId="10" xfId="33" applyFont="1" applyFill="1" applyBorder="1" applyAlignment="1">
      <alignment horizontal="center"/>
    </xf>
    <xf numFmtId="43" fontId="109" fillId="7" borderId="10" xfId="33" applyFont="1" applyFill="1" applyBorder="1" applyAlignment="1">
      <alignment horizontal="center" vertical="center"/>
    </xf>
    <xf numFmtId="43" fontId="113" fillId="7" borderId="10" xfId="33" applyFont="1" applyFill="1" applyBorder="1" applyAlignment="1">
      <alignment horizontal="center" vertical="center"/>
    </xf>
    <xf numFmtId="43" fontId="109" fillId="7" borderId="11" xfId="33" applyFont="1" applyFill="1" applyBorder="1" applyAlignment="1">
      <alignment horizontal="center" vertical="center"/>
    </xf>
    <xf numFmtId="43" fontId="19" fillId="41" borderId="10" xfId="33" applyFont="1" applyFill="1" applyBorder="1" applyAlignment="1">
      <alignment horizontal="center" vertical="center"/>
    </xf>
    <xf numFmtId="43" fontId="118" fillId="34" borderId="15" xfId="33" applyFont="1" applyFill="1" applyBorder="1" applyAlignment="1">
      <alignment/>
    </xf>
    <xf numFmtId="0" fontId="119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center"/>
    </xf>
    <xf numFmtId="0" fontId="119" fillId="0" borderId="10" xfId="0" applyFont="1" applyFill="1" applyBorder="1" applyAlignment="1">
      <alignment horizontal="left"/>
    </xf>
    <xf numFmtId="205" fontId="119" fillId="0" borderId="14" xfId="0" applyNumberFormat="1" applyFont="1" applyFill="1" applyBorder="1" applyAlignment="1">
      <alignment horizontal="center"/>
    </xf>
    <xf numFmtId="49" fontId="119" fillId="0" borderId="10" xfId="0" applyNumberFormat="1" applyFont="1" applyFill="1" applyBorder="1" applyAlignment="1" applyProtection="1">
      <alignment horizontal="center" vertical="center"/>
      <protection locked="0"/>
    </xf>
    <xf numFmtId="43" fontId="120" fillId="41" borderId="10" xfId="33" applyFont="1" applyFill="1" applyBorder="1" applyAlignment="1">
      <alignment horizontal="center" vertical="center"/>
    </xf>
    <xf numFmtId="43" fontId="119" fillId="38" borderId="10" xfId="33" applyFont="1" applyFill="1" applyBorder="1" applyAlignment="1">
      <alignment/>
    </xf>
    <xf numFmtId="43" fontId="120" fillId="38" borderId="10" xfId="33" applyFont="1" applyFill="1" applyBorder="1" applyAlignment="1">
      <alignment/>
    </xf>
    <xf numFmtId="43" fontId="119" fillId="0" borderId="10" xfId="33" applyFont="1" applyFill="1" applyBorder="1" applyAlignment="1">
      <alignment/>
    </xf>
    <xf numFmtId="43" fontId="120" fillId="7" borderId="10" xfId="33" applyFont="1" applyFill="1" applyBorder="1" applyAlignment="1">
      <alignment horizontal="center" vertical="center"/>
    </xf>
    <xf numFmtId="43" fontId="119" fillId="0" borderId="10" xfId="0" applyNumberFormat="1" applyFont="1" applyFill="1" applyBorder="1" applyAlignment="1">
      <alignment/>
    </xf>
    <xf numFmtId="0" fontId="119" fillId="0" borderId="10" xfId="0" applyFont="1" applyFill="1" applyBorder="1" applyAlignment="1">
      <alignment/>
    </xf>
    <xf numFmtId="43" fontId="121" fillId="42" borderId="10" xfId="33" applyFont="1" applyFill="1" applyBorder="1" applyAlignment="1">
      <alignment/>
    </xf>
    <xf numFmtId="0" fontId="121" fillId="43" borderId="10" xfId="0" applyFont="1" applyFill="1" applyBorder="1" applyAlignment="1">
      <alignment horizontal="center"/>
    </xf>
    <xf numFmtId="0" fontId="121" fillId="43" borderId="10" xfId="0" applyFont="1" applyFill="1" applyBorder="1" applyAlignment="1">
      <alignment/>
    </xf>
    <xf numFmtId="0" fontId="121" fillId="43" borderId="10" xfId="0" applyFont="1" applyFill="1" applyBorder="1" applyAlignment="1">
      <alignment horizontal="left"/>
    </xf>
    <xf numFmtId="205" fontId="121" fillId="43" borderId="10" xfId="0" applyNumberFormat="1" applyFont="1" applyFill="1" applyBorder="1" applyAlignment="1">
      <alignment horizontal="center"/>
    </xf>
    <xf numFmtId="0" fontId="121" fillId="43" borderId="10" xfId="0" applyNumberFormat="1" applyFont="1" applyFill="1" applyBorder="1" applyAlignment="1" quotePrefix="1">
      <alignment horizontal="center"/>
    </xf>
    <xf numFmtId="43" fontId="116" fillId="43" borderId="10" xfId="33" applyFont="1" applyFill="1" applyBorder="1" applyAlignment="1">
      <alignment horizontal="center" vertical="center"/>
    </xf>
    <xf numFmtId="43" fontId="121" fillId="43" borderId="10" xfId="33" applyFont="1" applyFill="1" applyBorder="1" applyAlignment="1">
      <alignment/>
    </xf>
    <xf numFmtId="43" fontId="116" fillId="43" borderId="10" xfId="33" applyFont="1" applyFill="1" applyBorder="1" applyAlignment="1">
      <alignment/>
    </xf>
    <xf numFmtId="43" fontId="116" fillId="43" borderId="10" xfId="0" applyNumberFormat="1" applyFont="1" applyFill="1" applyBorder="1" applyAlignment="1">
      <alignment/>
    </xf>
    <xf numFmtId="43" fontId="121" fillId="43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3" fontId="24" fillId="0" borderId="29" xfId="0" applyNumberFormat="1" applyFont="1" applyFill="1" applyBorder="1" applyAlignment="1">
      <alignment/>
    </xf>
    <xf numFmtId="43" fontId="24" fillId="0" borderId="30" xfId="33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43" fontId="118" fillId="34" borderId="13" xfId="33" applyFont="1" applyFill="1" applyBorder="1" applyAlignment="1">
      <alignment/>
    </xf>
    <xf numFmtId="43" fontId="109" fillId="39" borderId="31" xfId="33" applyFont="1" applyFill="1" applyBorder="1" applyAlignment="1">
      <alignment/>
    </xf>
    <xf numFmtId="43" fontId="24" fillId="0" borderId="31" xfId="33" applyFont="1" applyFill="1" applyBorder="1" applyAlignment="1">
      <alignment/>
    </xf>
    <xf numFmtId="43" fontId="24" fillId="7" borderId="31" xfId="33" applyFont="1" applyFill="1" applyBorder="1" applyAlignment="1">
      <alignment/>
    </xf>
    <xf numFmtId="0" fontId="24" fillId="0" borderId="31" xfId="0" applyFont="1" applyFill="1" applyBorder="1" applyAlignment="1">
      <alignment horizontal="center"/>
    </xf>
    <xf numFmtId="43" fontId="19" fillId="43" borderId="10" xfId="33" applyFont="1" applyFill="1" applyBorder="1" applyAlignment="1">
      <alignment horizontal="center" vertical="center"/>
    </xf>
    <xf numFmtId="43" fontId="19" fillId="7" borderId="11" xfId="33" applyFont="1" applyFill="1" applyBorder="1" applyAlignment="1">
      <alignment horizontal="center" vertical="center"/>
    </xf>
    <xf numFmtId="43" fontId="19" fillId="7" borderId="18" xfId="33" applyFont="1" applyFill="1" applyBorder="1" applyAlignment="1">
      <alignment/>
    </xf>
    <xf numFmtId="43" fontId="118" fillId="7" borderId="24" xfId="0" applyNumberFormat="1" applyFont="1" applyFill="1" applyBorder="1" applyAlignment="1">
      <alignment horizontal="center"/>
    </xf>
    <xf numFmtId="43" fontId="13" fillId="0" borderId="14" xfId="33" applyFont="1" applyFill="1" applyBorder="1" applyAlignment="1">
      <alignment horizontal="left"/>
    </xf>
    <xf numFmtId="43" fontId="13" fillId="0" borderId="17" xfId="33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5" fontId="2" fillId="0" borderId="11" xfId="0" applyNumberFormat="1" applyFont="1" applyFill="1" applyBorder="1" applyAlignment="1">
      <alignment horizontal="center" vertical="center"/>
    </xf>
    <xf numFmtId="205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3" fontId="3" fillId="0" borderId="11" xfId="33" applyFont="1" applyFill="1" applyBorder="1" applyAlignment="1">
      <alignment horizontal="center" vertical="center" wrapText="1"/>
    </xf>
    <xf numFmtId="43" fontId="3" fillId="0" borderId="12" xfId="33" applyFont="1" applyFill="1" applyBorder="1" applyAlignment="1">
      <alignment horizontal="center" vertical="center" wrapText="1"/>
    </xf>
    <xf numFmtId="43" fontId="2" fillId="0" borderId="11" xfId="33" applyFont="1" applyFill="1" applyBorder="1" applyAlignment="1">
      <alignment horizontal="center" vertical="center" wrapText="1"/>
    </xf>
    <xf numFmtId="43" fontId="2" fillId="0" borderId="12" xfId="33" applyFont="1" applyFill="1" applyBorder="1" applyAlignment="1">
      <alignment horizontal="center" vertical="center" wrapText="1"/>
    </xf>
    <xf numFmtId="0" fontId="19" fillId="7" borderId="34" xfId="0" applyNumberFormat="1" applyFont="1" applyFill="1" applyBorder="1" applyAlignment="1">
      <alignment horizontal="left"/>
    </xf>
    <xf numFmtId="0" fontId="19" fillId="7" borderId="35" xfId="0" applyNumberFormat="1" applyFont="1" applyFill="1" applyBorder="1" applyAlignment="1">
      <alignment horizontal="left"/>
    </xf>
    <xf numFmtId="0" fontId="19" fillId="7" borderId="36" xfId="0" applyNumberFormat="1" applyFont="1" applyFill="1" applyBorder="1" applyAlignment="1">
      <alignment horizontal="left"/>
    </xf>
    <xf numFmtId="43" fontId="19" fillId="7" borderId="37" xfId="33" applyFont="1" applyFill="1" applyBorder="1" applyAlignment="1">
      <alignment horizontal="left"/>
    </xf>
    <xf numFmtId="43" fontId="19" fillId="7" borderId="19" xfId="33" applyFont="1" applyFill="1" applyBorder="1" applyAlignment="1">
      <alignment horizontal="left"/>
    </xf>
    <xf numFmtId="43" fontId="19" fillId="7" borderId="17" xfId="33" applyFont="1" applyFill="1" applyBorder="1" applyAlignment="1">
      <alignment horizontal="left"/>
    </xf>
    <xf numFmtId="0" fontId="19" fillId="7" borderId="37" xfId="0" applyNumberFormat="1" applyFont="1" applyFill="1" applyBorder="1" applyAlignment="1">
      <alignment horizontal="left"/>
    </xf>
    <xf numFmtId="0" fontId="19" fillId="7" borderId="19" xfId="0" applyNumberFormat="1" applyFont="1" applyFill="1" applyBorder="1" applyAlignment="1">
      <alignment horizontal="left"/>
    </xf>
    <xf numFmtId="0" fontId="19" fillId="7" borderId="17" xfId="0" applyNumberFormat="1" applyFont="1" applyFill="1" applyBorder="1" applyAlignment="1">
      <alignment horizontal="left"/>
    </xf>
    <xf numFmtId="17" fontId="19" fillId="38" borderId="14" xfId="33" applyNumberFormat="1" applyFont="1" applyFill="1" applyBorder="1" applyAlignment="1">
      <alignment horizontal="center" vertical="center"/>
    </xf>
    <xf numFmtId="43" fontId="19" fillId="38" borderId="19" xfId="33" applyFont="1" applyFill="1" applyBorder="1" applyAlignment="1">
      <alignment horizontal="center" vertical="center"/>
    </xf>
    <xf numFmtId="43" fontId="19" fillId="38" borderId="17" xfId="33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43" fontId="19" fillId="0" borderId="11" xfId="33" applyFont="1" applyFill="1" applyBorder="1" applyAlignment="1">
      <alignment horizontal="center" vertical="center" wrapText="1"/>
    </xf>
    <xf numFmtId="43" fontId="19" fillId="0" borderId="12" xfId="33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05" fontId="19" fillId="0" borderId="11" xfId="0" applyNumberFormat="1" applyFont="1" applyFill="1" applyBorder="1" applyAlignment="1">
      <alignment horizontal="center" vertical="center"/>
    </xf>
    <xf numFmtId="205" fontId="19" fillId="0" borderId="12" xfId="0" applyNumberFormat="1" applyFont="1" applyFill="1" applyBorder="1" applyAlignment="1">
      <alignment horizontal="center" vertical="center"/>
    </xf>
    <xf numFmtId="43" fontId="18" fillId="0" borderId="11" xfId="33" applyFont="1" applyFill="1" applyBorder="1" applyAlignment="1">
      <alignment horizontal="center" vertical="center" wrapText="1"/>
    </xf>
    <xf numFmtId="43" fontId="18" fillId="0" borderId="12" xfId="33" applyFont="1" applyFill="1" applyBorder="1" applyAlignment="1">
      <alignment horizontal="center" vertical="center" wrapText="1"/>
    </xf>
    <xf numFmtId="43" fontId="18" fillId="7" borderId="14" xfId="33" applyFont="1" applyFill="1" applyBorder="1" applyAlignment="1">
      <alignment horizontal="center" vertical="center"/>
    </xf>
    <xf numFmtId="43" fontId="18" fillId="7" borderId="19" xfId="33" applyFont="1" applyFill="1" applyBorder="1" applyAlignment="1">
      <alignment horizontal="center" vertical="center"/>
    </xf>
    <xf numFmtId="43" fontId="18" fillId="7" borderId="17" xfId="33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left"/>
    </xf>
    <xf numFmtId="43" fontId="12" fillId="0" borderId="14" xfId="33" applyFont="1" applyFill="1" applyBorder="1" applyAlignment="1">
      <alignment horizontal="left"/>
    </xf>
    <xf numFmtId="43" fontId="12" fillId="0" borderId="19" xfId="33" applyFont="1" applyFill="1" applyBorder="1" applyAlignment="1">
      <alignment horizontal="left"/>
    </xf>
    <xf numFmtId="43" fontId="12" fillId="0" borderId="17" xfId="33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205" fontId="18" fillId="0" borderId="11" xfId="0" applyNumberFormat="1" applyFont="1" applyFill="1" applyBorder="1" applyAlignment="1">
      <alignment horizontal="center" vertical="center"/>
    </xf>
    <xf numFmtId="205" fontId="18" fillId="0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left"/>
    </xf>
    <xf numFmtId="0" fontId="23" fillId="0" borderId="19" xfId="0" applyNumberFormat="1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 horizontal="left"/>
    </xf>
    <xf numFmtId="43" fontId="18" fillId="34" borderId="14" xfId="33" applyFont="1" applyFill="1" applyBorder="1" applyAlignment="1">
      <alignment horizontal="center" vertical="center"/>
    </xf>
    <xf numFmtId="43" fontId="18" fillId="34" borderId="19" xfId="33" applyFont="1" applyFill="1" applyBorder="1" applyAlignment="1">
      <alignment horizontal="center" vertical="center"/>
    </xf>
    <xf numFmtId="43" fontId="18" fillId="34" borderId="17" xfId="33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="120" zoomScaleNormal="120" zoomScalePageLayoutView="0" workbookViewId="0" topLeftCell="D1">
      <pane ySplit="1605" topLeftCell="A61" activePane="bottomLeft" state="split"/>
      <selection pane="topLeft" activeCell="A1" sqref="A1:IV16384"/>
      <selection pane="bottomLeft" activeCell="E64" sqref="E64:I69"/>
    </sheetView>
  </sheetViews>
  <sheetFormatPr defaultColWidth="9.140625" defaultRowHeight="12.75"/>
  <cols>
    <col min="1" max="1" width="20.28125" style="14" customWidth="1"/>
    <col min="2" max="2" width="24.57421875" style="15" hidden="1" customWidth="1"/>
    <col min="3" max="3" width="56.57421875" style="15" customWidth="1"/>
    <col min="4" max="4" width="19.57421875" style="16" customWidth="1"/>
    <col min="5" max="5" width="20.421875" style="24" customWidth="1"/>
    <col min="6" max="6" width="14.7109375" style="18" customWidth="1"/>
    <col min="7" max="7" width="19.57421875" style="19" customWidth="1"/>
    <col min="8" max="8" width="4.00390625" style="20" customWidth="1"/>
    <col min="9" max="9" width="15.140625" style="21" customWidth="1"/>
    <col min="10" max="10" width="45.57421875" style="15" customWidth="1"/>
    <col min="11" max="11" width="19.7109375" style="15" bestFit="1" customWidth="1"/>
    <col min="12" max="12" width="24.8515625" style="15" customWidth="1"/>
    <col min="13" max="16384" width="9.140625" style="15" customWidth="1"/>
  </cols>
  <sheetData>
    <row r="1" spans="1:11" s="1" customFormat="1" ht="27" customHeight="1">
      <c r="A1" s="499" t="s">
        <v>73</v>
      </c>
      <c r="B1" s="501" t="s">
        <v>3</v>
      </c>
      <c r="C1" s="501" t="s">
        <v>46</v>
      </c>
      <c r="D1" s="503" t="s">
        <v>1</v>
      </c>
      <c r="E1" s="505" t="s">
        <v>45</v>
      </c>
      <c r="F1" s="507" t="s">
        <v>75</v>
      </c>
      <c r="G1" s="509" t="s">
        <v>74</v>
      </c>
      <c r="H1" s="495" t="s">
        <v>98</v>
      </c>
      <c r="I1" s="496"/>
      <c r="K1" s="1" t="s">
        <v>95</v>
      </c>
    </row>
    <row r="2" spans="1:9" s="1" customFormat="1" ht="27" customHeight="1">
      <c r="A2" s="500"/>
      <c r="B2" s="502"/>
      <c r="C2" s="502"/>
      <c r="D2" s="504"/>
      <c r="E2" s="506"/>
      <c r="F2" s="508"/>
      <c r="G2" s="510"/>
      <c r="H2" s="497"/>
      <c r="I2" s="498"/>
    </row>
    <row r="3" spans="1:11" s="1" customFormat="1" ht="23.25">
      <c r="A3" s="1" t="s">
        <v>31</v>
      </c>
      <c r="B3" s="1" t="s">
        <v>41</v>
      </c>
      <c r="D3" s="2"/>
      <c r="E3" s="3"/>
      <c r="F3" s="4">
        <v>0</v>
      </c>
      <c r="G3" s="4"/>
      <c r="H3" s="5"/>
      <c r="I3" s="11">
        <f>F3-G3</f>
        <v>0</v>
      </c>
      <c r="K3" s="13">
        <f>G3+I3</f>
        <v>0</v>
      </c>
    </row>
    <row r="4" spans="1:9" s="6" customFormat="1" ht="23.25">
      <c r="A4" s="6">
        <v>1101010101</v>
      </c>
      <c r="B4" s="7" t="s">
        <v>31</v>
      </c>
      <c r="C4" s="7"/>
      <c r="D4" s="8"/>
      <c r="E4" s="9"/>
      <c r="F4" s="10">
        <v>0</v>
      </c>
      <c r="G4" s="10"/>
      <c r="H4" s="5"/>
      <c r="I4" s="11">
        <f>+F4-G4</f>
        <v>0</v>
      </c>
    </row>
    <row r="5" spans="2:9" s="6" customFormat="1" ht="23.25">
      <c r="B5" s="7" t="s">
        <v>32</v>
      </c>
      <c r="C5" s="7"/>
      <c r="D5" s="8"/>
      <c r="E5" s="9"/>
      <c r="F5" s="10"/>
      <c r="G5" s="10"/>
      <c r="H5" s="5"/>
      <c r="I5" s="11"/>
    </row>
    <row r="6" spans="2:11" s="1" customFormat="1" ht="23.25">
      <c r="B6" s="12"/>
      <c r="C6" s="12"/>
      <c r="D6" s="2"/>
      <c r="E6" s="3"/>
      <c r="F6" s="4"/>
      <c r="G6" s="4"/>
      <c r="H6" s="5"/>
      <c r="I6" s="11">
        <f>F6-G6</f>
        <v>0</v>
      </c>
      <c r="K6" s="13">
        <f>F6</f>
        <v>0</v>
      </c>
    </row>
    <row r="7" spans="2:9" s="1" customFormat="1" ht="23.25">
      <c r="B7" s="1" t="s">
        <v>40</v>
      </c>
      <c r="C7" s="12"/>
      <c r="D7" s="2"/>
      <c r="E7" s="3"/>
      <c r="F7" s="4"/>
      <c r="G7" s="4"/>
      <c r="H7" s="5"/>
      <c r="I7" s="5"/>
    </row>
    <row r="8" spans="2:9" s="1" customFormat="1" ht="23.25">
      <c r="B8" s="12" t="s">
        <v>33</v>
      </c>
      <c r="C8" s="12"/>
      <c r="D8" s="2"/>
      <c r="E8" s="3"/>
      <c r="F8" s="4"/>
      <c r="G8" s="4"/>
      <c r="H8" s="5"/>
      <c r="I8" s="5"/>
    </row>
    <row r="9" spans="2:9" s="1" customFormat="1" ht="23.25">
      <c r="B9" s="12" t="s">
        <v>42</v>
      </c>
      <c r="C9" s="12"/>
      <c r="D9" s="2"/>
      <c r="E9" s="3"/>
      <c r="F9" s="4"/>
      <c r="G9" s="4"/>
      <c r="H9" s="5"/>
      <c r="I9" s="5"/>
    </row>
    <row r="10" spans="2:9" s="6" customFormat="1" ht="23.25">
      <c r="B10" s="7"/>
      <c r="C10" s="7"/>
      <c r="D10" s="8"/>
      <c r="E10" s="9"/>
      <c r="F10" s="4"/>
      <c r="G10" s="4"/>
      <c r="H10" s="5"/>
      <c r="I10" s="5"/>
    </row>
    <row r="11" spans="2:9" s="6" customFormat="1" ht="23.25">
      <c r="B11" s="7"/>
      <c r="C11" s="7"/>
      <c r="D11" s="8"/>
      <c r="E11" s="9"/>
      <c r="F11" s="10"/>
      <c r="G11" s="10"/>
      <c r="H11" s="5"/>
      <c r="I11" s="5"/>
    </row>
    <row r="12" spans="1:9" s="1" customFormat="1" ht="23.25">
      <c r="A12" s="1" t="s">
        <v>72</v>
      </c>
      <c r="B12" s="1" t="s">
        <v>0</v>
      </c>
      <c r="D12" s="2"/>
      <c r="E12" s="3"/>
      <c r="F12" s="4"/>
      <c r="G12" s="4"/>
      <c r="H12" s="5"/>
      <c r="I12" s="5"/>
    </row>
    <row r="13" spans="1:7" ht="23.25">
      <c r="A13" s="14">
        <v>1101030101</v>
      </c>
      <c r="B13" s="15" t="s">
        <v>39</v>
      </c>
      <c r="D13" s="16">
        <v>9326000028</v>
      </c>
      <c r="E13" s="17" t="s">
        <v>4</v>
      </c>
      <c r="G13" s="18"/>
    </row>
    <row r="14" spans="1:9" ht="23.25">
      <c r="A14" s="14">
        <v>1101030101</v>
      </c>
      <c r="B14" s="15" t="s">
        <v>2</v>
      </c>
      <c r="D14" s="16">
        <v>9326001040</v>
      </c>
      <c r="E14" s="17" t="s">
        <v>9</v>
      </c>
      <c r="G14" s="18"/>
      <c r="I14" s="22">
        <f>G14-F14</f>
        <v>0</v>
      </c>
    </row>
    <row r="15" spans="1:7" ht="23.25">
      <c r="A15" s="14">
        <v>1101030101</v>
      </c>
      <c r="B15" s="15" t="s">
        <v>2</v>
      </c>
      <c r="D15" s="16">
        <v>9326005097</v>
      </c>
      <c r="E15" s="17" t="s">
        <v>10</v>
      </c>
      <c r="G15" s="18"/>
    </row>
    <row r="16" spans="1:10" ht="23.25">
      <c r="A16" s="14">
        <v>1101030101</v>
      </c>
      <c r="B16" s="15" t="s">
        <v>2</v>
      </c>
      <c r="D16" s="16">
        <v>9326012476</v>
      </c>
      <c r="E16" s="17" t="s">
        <v>11</v>
      </c>
      <c r="G16" s="18"/>
      <c r="J16" s="15" t="s">
        <v>104</v>
      </c>
    </row>
    <row r="17" spans="1:7" ht="23.25">
      <c r="A17" s="14">
        <v>1101030101</v>
      </c>
      <c r="B17" s="15" t="s">
        <v>14</v>
      </c>
      <c r="D17" s="23" t="s">
        <v>44</v>
      </c>
      <c r="E17" s="24" t="s">
        <v>49</v>
      </c>
      <c r="G17" s="18"/>
    </row>
    <row r="18" spans="1:7" ht="23.25">
      <c r="A18" s="14">
        <v>1101030101</v>
      </c>
      <c r="E18" s="17"/>
      <c r="G18" s="18"/>
    </row>
    <row r="19" spans="5:7" ht="23.25">
      <c r="E19" s="17"/>
      <c r="F19" s="25"/>
      <c r="G19" s="25"/>
    </row>
    <row r="20" spans="1:12" s="29" customFormat="1" ht="23.25">
      <c r="A20" s="26" t="s">
        <v>12</v>
      </c>
      <c r="B20" s="26" t="s">
        <v>0</v>
      </c>
      <c r="C20" s="26"/>
      <c r="D20" s="27"/>
      <c r="E20" s="28"/>
      <c r="F20" s="25"/>
      <c r="G20" s="25"/>
      <c r="H20" s="20"/>
      <c r="I20" s="21"/>
      <c r="K20" s="30" t="s">
        <v>96</v>
      </c>
      <c r="L20" s="26" t="s">
        <v>105</v>
      </c>
    </row>
    <row r="21" spans="1:12" s="32" customFormat="1" ht="23.25">
      <c r="A21" s="31">
        <v>1101030102</v>
      </c>
      <c r="B21" s="32" t="s">
        <v>2</v>
      </c>
      <c r="C21" s="167" t="s">
        <v>86</v>
      </c>
      <c r="D21" s="168">
        <v>9321080872</v>
      </c>
      <c r="E21" s="169" t="s">
        <v>5</v>
      </c>
      <c r="F21" s="33">
        <v>45658034.8</v>
      </c>
      <c r="G21" s="33">
        <v>49422134.13</v>
      </c>
      <c r="H21" s="30" t="s">
        <v>92</v>
      </c>
      <c r="I21" s="33">
        <f>F21-G21</f>
        <v>-3764099.3300000057</v>
      </c>
      <c r="J21" s="34" t="s">
        <v>94</v>
      </c>
      <c r="K21" s="35">
        <f>G21+I21</f>
        <v>45658034.8</v>
      </c>
      <c r="L21" s="35">
        <f>F21-K21</f>
        <v>0</v>
      </c>
    </row>
    <row r="22" spans="1:12" ht="23.25">
      <c r="A22" s="14">
        <v>1101030102</v>
      </c>
      <c r="B22" s="15" t="s">
        <v>15</v>
      </c>
      <c r="C22" s="167" t="s">
        <v>50</v>
      </c>
      <c r="D22" s="168">
        <v>9091058013</v>
      </c>
      <c r="E22" s="169" t="s">
        <v>6</v>
      </c>
      <c r="F22" s="19">
        <v>1832673.27</v>
      </c>
      <c r="G22" s="19">
        <v>1832673.27</v>
      </c>
      <c r="I22" s="33">
        <f aca="true" t="shared" si="0" ref="I22:I54">F22-G22</f>
        <v>0</v>
      </c>
      <c r="J22" s="36"/>
      <c r="K22" s="35">
        <f aca="true" t="shared" si="1" ref="K22:K54">G22+I22</f>
        <v>1832673.27</v>
      </c>
      <c r="L22" s="35">
        <f aca="true" t="shared" si="2" ref="L22:L54">F22-K22</f>
        <v>0</v>
      </c>
    </row>
    <row r="23" spans="1:12" s="38" customFormat="1" ht="23.25">
      <c r="A23" s="37">
        <v>1101030102</v>
      </c>
      <c r="B23" s="38" t="s">
        <v>2</v>
      </c>
      <c r="C23" s="170" t="s">
        <v>51</v>
      </c>
      <c r="D23" s="168">
        <v>9321044531</v>
      </c>
      <c r="E23" s="169" t="s">
        <v>7</v>
      </c>
      <c r="F23" s="39">
        <v>12744.51</v>
      </c>
      <c r="G23" s="39">
        <v>12744.51</v>
      </c>
      <c r="H23" s="40"/>
      <c r="I23" s="41">
        <f t="shared" si="0"/>
        <v>0</v>
      </c>
      <c r="J23" s="42"/>
      <c r="K23" s="43">
        <f t="shared" si="1"/>
        <v>12744.51</v>
      </c>
      <c r="L23" s="35">
        <f t="shared" si="2"/>
        <v>0</v>
      </c>
    </row>
    <row r="24" spans="1:12" ht="23.25">
      <c r="A24" s="14">
        <v>1101030102</v>
      </c>
      <c r="B24" s="15" t="s">
        <v>15</v>
      </c>
      <c r="C24" s="167" t="s">
        <v>52</v>
      </c>
      <c r="D24" s="168">
        <v>9092199648</v>
      </c>
      <c r="E24" s="169" t="s">
        <v>8</v>
      </c>
      <c r="F24" s="19">
        <v>172380.83</v>
      </c>
      <c r="G24" s="19">
        <v>172380.83</v>
      </c>
      <c r="I24" s="33">
        <f t="shared" si="0"/>
        <v>0</v>
      </c>
      <c r="J24" s="36"/>
      <c r="K24" s="35">
        <f t="shared" si="1"/>
        <v>172380.83</v>
      </c>
      <c r="L24" s="35">
        <f t="shared" si="2"/>
        <v>0</v>
      </c>
    </row>
    <row r="25" spans="1:12" s="45" customFormat="1" ht="23.25">
      <c r="A25" s="44">
        <v>1101030102</v>
      </c>
      <c r="B25" s="45" t="s">
        <v>13</v>
      </c>
      <c r="C25" s="167" t="s">
        <v>71</v>
      </c>
      <c r="D25" s="168">
        <v>5081000895</v>
      </c>
      <c r="E25" s="169" t="s">
        <v>18</v>
      </c>
      <c r="F25" s="46"/>
      <c r="G25" s="46"/>
      <c r="H25" s="47"/>
      <c r="I25" s="48">
        <f t="shared" si="0"/>
        <v>0</v>
      </c>
      <c r="J25" s="49"/>
      <c r="K25" s="49">
        <f t="shared" si="1"/>
        <v>0</v>
      </c>
      <c r="L25" s="35">
        <f t="shared" si="2"/>
        <v>0</v>
      </c>
    </row>
    <row r="26" spans="1:12" ht="23.25">
      <c r="A26" s="14">
        <v>1101030102</v>
      </c>
      <c r="B26" s="15" t="s">
        <v>2</v>
      </c>
      <c r="C26" s="167" t="s">
        <v>53</v>
      </c>
      <c r="D26" s="168">
        <v>9321151400</v>
      </c>
      <c r="E26" s="169" t="s">
        <v>17</v>
      </c>
      <c r="F26" s="19">
        <v>15758.41</v>
      </c>
      <c r="G26" s="19">
        <v>15758.41</v>
      </c>
      <c r="I26" s="33">
        <f t="shared" si="0"/>
        <v>0</v>
      </c>
      <c r="J26" s="36"/>
      <c r="K26" s="35">
        <f t="shared" si="1"/>
        <v>15758.41</v>
      </c>
      <c r="L26" s="35">
        <f t="shared" si="2"/>
        <v>0</v>
      </c>
    </row>
    <row r="27" spans="1:12" ht="23.25">
      <c r="A27" s="14">
        <v>1101030102</v>
      </c>
      <c r="B27" s="15" t="s">
        <v>2</v>
      </c>
      <c r="C27" s="167" t="s">
        <v>54</v>
      </c>
      <c r="D27" s="168">
        <v>9321484736</v>
      </c>
      <c r="E27" s="169" t="s">
        <v>19</v>
      </c>
      <c r="F27" s="19">
        <v>0</v>
      </c>
      <c r="G27" s="19">
        <v>0</v>
      </c>
      <c r="I27" s="33">
        <f t="shared" si="0"/>
        <v>0</v>
      </c>
      <c r="J27" s="36"/>
      <c r="K27" s="35">
        <f t="shared" si="1"/>
        <v>0</v>
      </c>
      <c r="L27" s="35">
        <f t="shared" si="2"/>
        <v>0</v>
      </c>
    </row>
    <row r="28" spans="1:12" ht="23.25">
      <c r="A28" s="14">
        <v>1101030102</v>
      </c>
      <c r="B28" s="15" t="s">
        <v>2</v>
      </c>
      <c r="C28" s="167" t="s">
        <v>55</v>
      </c>
      <c r="D28" s="168">
        <v>9321441107</v>
      </c>
      <c r="E28" s="169" t="s">
        <v>20</v>
      </c>
      <c r="F28" s="19">
        <v>41839.74</v>
      </c>
      <c r="G28" s="19">
        <v>41839.74</v>
      </c>
      <c r="I28" s="33">
        <f t="shared" si="0"/>
        <v>0</v>
      </c>
      <c r="J28" s="36"/>
      <c r="K28" s="35">
        <f t="shared" si="1"/>
        <v>41839.74</v>
      </c>
      <c r="L28" s="35">
        <f t="shared" si="2"/>
        <v>0</v>
      </c>
    </row>
    <row r="29" spans="1:12" ht="23.25">
      <c r="A29" s="14">
        <v>1101030102</v>
      </c>
      <c r="B29" s="15" t="s">
        <v>2</v>
      </c>
      <c r="C29" s="167" t="s">
        <v>77</v>
      </c>
      <c r="D29" s="168">
        <v>9321441638</v>
      </c>
      <c r="E29" s="169" t="s">
        <v>21</v>
      </c>
      <c r="F29" s="19">
        <v>3906.59</v>
      </c>
      <c r="G29" s="19">
        <v>3906.59</v>
      </c>
      <c r="I29" s="33">
        <f t="shared" si="0"/>
        <v>0</v>
      </c>
      <c r="J29" s="36"/>
      <c r="K29" s="35">
        <f t="shared" si="1"/>
        <v>3906.59</v>
      </c>
      <c r="L29" s="35">
        <f t="shared" si="2"/>
        <v>0</v>
      </c>
    </row>
    <row r="30" spans="1:12" ht="23.25">
      <c r="A30" s="14">
        <v>1101030102</v>
      </c>
      <c r="B30" s="15" t="s">
        <v>2</v>
      </c>
      <c r="C30" s="167" t="s">
        <v>56</v>
      </c>
      <c r="D30" s="168">
        <v>9321474838</v>
      </c>
      <c r="E30" s="169" t="s">
        <v>22</v>
      </c>
      <c r="F30" s="19">
        <v>4378.95</v>
      </c>
      <c r="G30" s="19">
        <v>4378.95</v>
      </c>
      <c r="I30" s="33">
        <f t="shared" si="0"/>
        <v>0</v>
      </c>
      <c r="J30" s="36"/>
      <c r="K30" s="35">
        <f t="shared" si="1"/>
        <v>4378.95</v>
      </c>
      <c r="L30" s="35">
        <f t="shared" si="2"/>
        <v>0</v>
      </c>
    </row>
    <row r="31" spans="1:12" ht="23.25">
      <c r="A31" s="14">
        <v>1101030102</v>
      </c>
      <c r="B31" s="15" t="s">
        <v>2</v>
      </c>
      <c r="C31" s="167" t="s">
        <v>57</v>
      </c>
      <c r="D31" s="168">
        <v>9320023573</v>
      </c>
      <c r="E31" s="169" t="s">
        <v>23</v>
      </c>
      <c r="F31" s="19">
        <v>100884.08</v>
      </c>
      <c r="G31" s="19">
        <v>100884.08</v>
      </c>
      <c r="I31" s="33">
        <f t="shared" si="0"/>
        <v>0</v>
      </c>
      <c r="J31" s="36"/>
      <c r="K31" s="35">
        <f t="shared" si="1"/>
        <v>100884.08</v>
      </c>
      <c r="L31" s="35">
        <f t="shared" si="2"/>
        <v>0</v>
      </c>
    </row>
    <row r="32" spans="1:12" s="101" customFormat="1" ht="23.25">
      <c r="A32" s="100">
        <v>1101030102</v>
      </c>
      <c r="B32" s="101" t="s">
        <v>2</v>
      </c>
      <c r="C32" s="171" t="s">
        <v>58</v>
      </c>
      <c r="D32" s="172">
        <v>9321188886</v>
      </c>
      <c r="E32" s="173" t="s">
        <v>24</v>
      </c>
      <c r="F32" s="102"/>
      <c r="G32" s="102"/>
      <c r="H32" s="103"/>
      <c r="I32" s="102">
        <f t="shared" si="0"/>
        <v>0</v>
      </c>
      <c r="J32" s="104"/>
      <c r="K32" s="104">
        <f t="shared" si="1"/>
        <v>0</v>
      </c>
      <c r="L32" s="104">
        <f t="shared" si="2"/>
        <v>0</v>
      </c>
    </row>
    <row r="33" spans="1:12" ht="23.25">
      <c r="A33" s="14">
        <v>1101030102</v>
      </c>
      <c r="B33" s="15" t="s">
        <v>2</v>
      </c>
      <c r="C33" s="167" t="s">
        <v>48</v>
      </c>
      <c r="D33" s="168">
        <v>9321108904</v>
      </c>
      <c r="E33" s="169" t="s">
        <v>25</v>
      </c>
      <c r="F33" s="19">
        <v>8272285.21</v>
      </c>
      <c r="G33" s="19">
        <v>6640175.68</v>
      </c>
      <c r="H33" s="20" t="s">
        <v>93</v>
      </c>
      <c r="I33" s="33">
        <f t="shared" si="0"/>
        <v>1632109.5300000003</v>
      </c>
      <c r="J33" s="36"/>
      <c r="K33" s="35">
        <f t="shared" si="1"/>
        <v>8272285.21</v>
      </c>
      <c r="L33" s="35">
        <f t="shared" si="2"/>
        <v>0</v>
      </c>
    </row>
    <row r="34" spans="1:12" s="101" customFormat="1" ht="23.25">
      <c r="A34" s="100">
        <v>1101030102</v>
      </c>
      <c r="B34" s="101" t="s">
        <v>14</v>
      </c>
      <c r="C34" s="171" t="s">
        <v>59</v>
      </c>
      <c r="D34" s="174" t="s">
        <v>16</v>
      </c>
      <c r="E34" s="173" t="s">
        <v>26</v>
      </c>
      <c r="F34" s="105"/>
      <c r="G34" s="105"/>
      <c r="H34" s="106"/>
      <c r="I34" s="102"/>
      <c r="J34" s="104"/>
      <c r="K34" s="104">
        <f t="shared" si="1"/>
        <v>0</v>
      </c>
      <c r="L34" s="104">
        <f t="shared" si="2"/>
        <v>0</v>
      </c>
    </row>
    <row r="35" spans="1:12" s="97" customFormat="1" ht="23.25">
      <c r="A35" s="52">
        <v>1101030102</v>
      </c>
      <c r="B35" s="97" t="s">
        <v>14</v>
      </c>
      <c r="C35" s="175" t="s">
        <v>76</v>
      </c>
      <c r="D35" s="176" t="s">
        <v>60</v>
      </c>
      <c r="E35" s="177" t="s">
        <v>27</v>
      </c>
      <c r="F35" s="51">
        <v>202686766.3</v>
      </c>
      <c r="G35" s="51">
        <v>197791274.68</v>
      </c>
      <c r="H35" s="52" t="s">
        <v>93</v>
      </c>
      <c r="I35" s="51">
        <f t="shared" si="0"/>
        <v>4895491.620000005</v>
      </c>
      <c r="J35" s="98" t="s">
        <v>124</v>
      </c>
      <c r="K35" s="99">
        <f t="shared" si="1"/>
        <v>202686766.3</v>
      </c>
      <c r="L35" s="87">
        <f t="shared" si="2"/>
        <v>0</v>
      </c>
    </row>
    <row r="36" spans="1:12" ht="23.25">
      <c r="A36" s="14">
        <v>1101030102</v>
      </c>
      <c r="B36" s="15" t="s">
        <v>2</v>
      </c>
      <c r="C36" s="167" t="s">
        <v>61</v>
      </c>
      <c r="D36" s="168">
        <v>9320115583</v>
      </c>
      <c r="E36" s="169" t="s">
        <v>28</v>
      </c>
      <c r="F36" s="53">
        <v>17781186.08</v>
      </c>
      <c r="G36" s="53">
        <v>19436110.84</v>
      </c>
      <c r="H36" s="54" t="s">
        <v>92</v>
      </c>
      <c r="I36" s="33">
        <f t="shared" si="0"/>
        <v>-1654924.7600000016</v>
      </c>
      <c r="J36" s="36"/>
      <c r="K36" s="35">
        <f t="shared" si="1"/>
        <v>17781186.08</v>
      </c>
      <c r="L36" s="35">
        <f t="shared" si="2"/>
        <v>0</v>
      </c>
    </row>
    <row r="37" spans="1:12" ht="23.25">
      <c r="A37" s="14">
        <v>1101030102</v>
      </c>
      <c r="B37" s="15" t="s">
        <v>2</v>
      </c>
      <c r="C37" s="167" t="s">
        <v>62</v>
      </c>
      <c r="D37" s="168">
        <v>9320261059</v>
      </c>
      <c r="E37" s="169" t="s">
        <v>29</v>
      </c>
      <c r="F37" s="19">
        <v>52868856.4</v>
      </c>
      <c r="G37" s="19">
        <v>57018903.66</v>
      </c>
      <c r="H37" s="26" t="s">
        <v>92</v>
      </c>
      <c r="I37" s="33">
        <f t="shared" si="0"/>
        <v>-4150047.259999998</v>
      </c>
      <c r="J37" s="36"/>
      <c r="K37" s="35">
        <f t="shared" si="1"/>
        <v>52868856.4</v>
      </c>
      <c r="L37" s="35">
        <f t="shared" si="2"/>
        <v>0</v>
      </c>
    </row>
    <row r="38" spans="1:12" ht="23.25">
      <c r="A38" s="14">
        <v>1101030102</v>
      </c>
      <c r="B38" s="15" t="s">
        <v>2</v>
      </c>
      <c r="C38" s="167" t="s">
        <v>63</v>
      </c>
      <c r="D38" s="168">
        <v>9320293791</v>
      </c>
      <c r="E38" s="169" t="s">
        <v>30</v>
      </c>
      <c r="F38" s="19">
        <v>11119643</v>
      </c>
      <c r="G38" s="19">
        <v>11259643</v>
      </c>
      <c r="H38" s="20" t="s">
        <v>92</v>
      </c>
      <c r="I38" s="33">
        <f t="shared" si="0"/>
        <v>-140000</v>
      </c>
      <c r="J38" s="36"/>
      <c r="K38" s="35">
        <f t="shared" si="1"/>
        <v>11119643</v>
      </c>
      <c r="L38" s="35">
        <f t="shared" si="2"/>
        <v>0</v>
      </c>
    </row>
    <row r="39" spans="1:12" ht="23.25">
      <c r="A39" s="14">
        <v>1101030102</v>
      </c>
      <c r="B39" s="15" t="s">
        <v>2</v>
      </c>
      <c r="C39" s="167" t="s">
        <v>64</v>
      </c>
      <c r="D39" s="168">
        <v>9320293783</v>
      </c>
      <c r="E39" s="169" t="s">
        <v>34</v>
      </c>
      <c r="F39" s="19">
        <v>10729273.38</v>
      </c>
      <c r="G39" s="19">
        <v>10713273.38</v>
      </c>
      <c r="H39" s="20" t="s">
        <v>93</v>
      </c>
      <c r="I39" s="33">
        <f t="shared" si="0"/>
        <v>16000</v>
      </c>
      <c r="J39" s="36"/>
      <c r="K39" s="35">
        <f t="shared" si="1"/>
        <v>10729273.38</v>
      </c>
      <c r="L39" s="35">
        <f t="shared" si="2"/>
        <v>0</v>
      </c>
    </row>
    <row r="40" spans="1:12" ht="23.25">
      <c r="A40" s="14">
        <v>1101030102</v>
      </c>
      <c r="B40" s="15" t="s">
        <v>2</v>
      </c>
      <c r="C40" s="167" t="s">
        <v>47</v>
      </c>
      <c r="D40" s="168">
        <v>9320344507</v>
      </c>
      <c r="E40" s="169" t="s">
        <v>35</v>
      </c>
      <c r="F40" s="19">
        <v>6584714</v>
      </c>
      <c r="G40" s="19">
        <v>19910328.84</v>
      </c>
      <c r="H40" s="20" t="s">
        <v>92</v>
      </c>
      <c r="I40" s="33">
        <f t="shared" si="0"/>
        <v>-13325614.84</v>
      </c>
      <c r="J40" s="36"/>
      <c r="K40" s="35">
        <f t="shared" si="1"/>
        <v>6584714</v>
      </c>
      <c r="L40" s="35">
        <f t="shared" si="2"/>
        <v>0</v>
      </c>
    </row>
    <row r="41" spans="1:12" ht="23.25">
      <c r="A41" s="14">
        <v>1101030102</v>
      </c>
      <c r="B41" s="15" t="s">
        <v>2</v>
      </c>
      <c r="C41" s="167" t="s">
        <v>65</v>
      </c>
      <c r="D41" s="168">
        <v>9320429634</v>
      </c>
      <c r="E41" s="169" t="s">
        <v>36</v>
      </c>
      <c r="F41" s="19">
        <v>570083.43</v>
      </c>
      <c r="G41" s="19">
        <v>570083.43</v>
      </c>
      <c r="I41" s="33">
        <f t="shared" si="0"/>
        <v>0</v>
      </c>
      <c r="J41" s="36"/>
      <c r="K41" s="35">
        <f t="shared" si="1"/>
        <v>570083.43</v>
      </c>
      <c r="L41" s="35">
        <f t="shared" si="2"/>
        <v>0</v>
      </c>
    </row>
    <row r="42" spans="1:12" ht="23.25">
      <c r="A42" s="14">
        <v>1101030102</v>
      </c>
      <c r="B42" s="15" t="s">
        <v>2</v>
      </c>
      <c r="C42" s="167" t="s">
        <v>66</v>
      </c>
      <c r="D42" s="178" t="s">
        <v>38</v>
      </c>
      <c r="E42" s="179" t="s">
        <v>37</v>
      </c>
      <c r="F42" s="55"/>
      <c r="G42" s="55"/>
      <c r="H42" s="56"/>
      <c r="I42" s="57">
        <f t="shared" si="0"/>
        <v>0</v>
      </c>
      <c r="J42" s="58"/>
      <c r="K42" s="59">
        <f t="shared" si="1"/>
        <v>0</v>
      </c>
      <c r="L42" s="35">
        <f t="shared" si="2"/>
        <v>0</v>
      </c>
    </row>
    <row r="43" spans="1:12" ht="23.25">
      <c r="A43" s="14">
        <v>1101030102</v>
      </c>
      <c r="B43" s="15" t="s">
        <v>2</v>
      </c>
      <c r="C43" s="167" t="s">
        <v>67</v>
      </c>
      <c r="D43" s="168">
        <v>9320515662</v>
      </c>
      <c r="E43" s="179" t="s">
        <v>81</v>
      </c>
      <c r="F43" s="19">
        <f>1154209.14</f>
        <v>1154209.14</v>
      </c>
      <c r="G43" s="19">
        <v>987953.82</v>
      </c>
      <c r="H43" s="20" t="s">
        <v>93</v>
      </c>
      <c r="I43" s="33">
        <f t="shared" si="0"/>
        <v>166255.31999999995</v>
      </c>
      <c r="J43" s="36"/>
      <c r="K43" s="35">
        <f t="shared" si="1"/>
        <v>1154209.14</v>
      </c>
      <c r="L43" s="35">
        <f t="shared" si="2"/>
        <v>0</v>
      </c>
    </row>
    <row r="44" spans="1:12" ht="23.25">
      <c r="A44" s="14">
        <v>1101030102</v>
      </c>
      <c r="B44" s="15" t="s">
        <v>14</v>
      </c>
      <c r="C44" s="167" t="s">
        <v>69</v>
      </c>
      <c r="D44" s="178" t="s">
        <v>43</v>
      </c>
      <c r="E44" s="179" t="s">
        <v>82</v>
      </c>
      <c r="F44" s="19">
        <v>26271.17</v>
      </c>
      <c r="G44" s="19">
        <v>26169.83</v>
      </c>
      <c r="H44" s="60" t="s">
        <v>93</v>
      </c>
      <c r="I44" s="33">
        <f t="shared" si="0"/>
        <v>101.33999999999651</v>
      </c>
      <c r="J44" s="36"/>
      <c r="K44" s="35">
        <f t="shared" si="1"/>
        <v>26271.17</v>
      </c>
      <c r="L44" s="35">
        <f t="shared" si="2"/>
        <v>0</v>
      </c>
    </row>
    <row r="45" spans="1:12" ht="23.25">
      <c r="A45" s="14">
        <v>1101030102</v>
      </c>
      <c r="B45" s="15" t="s">
        <v>2</v>
      </c>
      <c r="C45" s="167" t="s">
        <v>70</v>
      </c>
      <c r="D45" s="168">
        <v>9320614350</v>
      </c>
      <c r="E45" s="179" t="s">
        <v>83</v>
      </c>
      <c r="F45" s="19">
        <v>299475.18</v>
      </c>
      <c r="G45" s="19">
        <v>299706.56</v>
      </c>
      <c r="H45" s="20" t="s">
        <v>92</v>
      </c>
      <c r="I45" s="33">
        <f t="shared" si="0"/>
        <v>-231.38000000000466</v>
      </c>
      <c r="J45" s="36"/>
      <c r="K45" s="35">
        <f t="shared" si="1"/>
        <v>299475.18</v>
      </c>
      <c r="L45" s="35">
        <f t="shared" si="2"/>
        <v>0</v>
      </c>
    </row>
    <row r="46" spans="1:12" ht="23.25">
      <c r="A46" s="14">
        <v>1101030102</v>
      </c>
      <c r="B46" s="15" t="s">
        <v>13</v>
      </c>
      <c r="C46" s="167" t="s">
        <v>68</v>
      </c>
      <c r="D46" s="168">
        <v>5081084530</v>
      </c>
      <c r="E46" s="169" t="s">
        <v>84</v>
      </c>
      <c r="F46" s="19">
        <v>123420.31</v>
      </c>
      <c r="G46" s="19">
        <v>122198.32</v>
      </c>
      <c r="H46" s="20" t="s">
        <v>93</v>
      </c>
      <c r="I46" s="33">
        <f t="shared" si="0"/>
        <v>1221.9899999999907</v>
      </c>
      <c r="J46" s="36"/>
      <c r="K46" s="35">
        <f t="shared" si="1"/>
        <v>123420.31</v>
      </c>
      <c r="L46" s="35">
        <f t="shared" si="2"/>
        <v>0</v>
      </c>
    </row>
    <row r="47" spans="1:12" ht="23.25">
      <c r="A47" s="14">
        <v>1101030102</v>
      </c>
      <c r="B47" s="15" t="s">
        <v>89</v>
      </c>
      <c r="C47" s="167" t="s">
        <v>87</v>
      </c>
      <c r="D47" s="178" t="s">
        <v>88</v>
      </c>
      <c r="E47" s="180" t="s">
        <v>90</v>
      </c>
      <c r="F47" s="19">
        <v>30943253.17</v>
      </c>
      <c r="G47" s="19">
        <v>33934229.71</v>
      </c>
      <c r="H47" s="60" t="s">
        <v>92</v>
      </c>
      <c r="I47" s="33">
        <f t="shared" si="0"/>
        <v>-2990976.539999999</v>
      </c>
      <c r="J47" s="36"/>
      <c r="K47" s="35">
        <f t="shared" si="1"/>
        <v>30943253.17</v>
      </c>
      <c r="L47" s="35">
        <f t="shared" si="2"/>
        <v>0</v>
      </c>
    </row>
    <row r="48" spans="1:12" ht="23.25">
      <c r="A48" s="14">
        <v>1101030102</v>
      </c>
      <c r="C48" s="167" t="s">
        <v>99</v>
      </c>
      <c r="D48" s="168" t="s">
        <v>100</v>
      </c>
      <c r="E48" s="181" t="s">
        <v>103</v>
      </c>
      <c r="F48" s="50">
        <v>107305.19</v>
      </c>
      <c r="G48" s="50">
        <v>107305.19</v>
      </c>
      <c r="H48" s="60"/>
      <c r="I48" s="33">
        <f t="shared" si="0"/>
        <v>0</v>
      </c>
      <c r="J48" s="36"/>
      <c r="K48" s="35">
        <f t="shared" si="1"/>
        <v>107305.19</v>
      </c>
      <c r="L48" s="35">
        <f t="shared" si="2"/>
        <v>0</v>
      </c>
    </row>
    <row r="49" spans="1:12" ht="23.25">
      <c r="A49" s="14">
        <v>1101030102</v>
      </c>
      <c r="C49" s="167" t="s">
        <v>107</v>
      </c>
      <c r="D49" s="182" t="s">
        <v>108</v>
      </c>
      <c r="E49" s="183" t="s">
        <v>111</v>
      </c>
      <c r="F49" s="19">
        <v>5883261.97</v>
      </c>
      <c r="G49" s="19">
        <v>5883261.97</v>
      </c>
      <c r="H49" s="60"/>
      <c r="I49" s="33">
        <f t="shared" si="0"/>
        <v>0</v>
      </c>
      <c r="J49" s="36"/>
      <c r="K49" s="35">
        <f t="shared" si="1"/>
        <v>5883261.97</v>
      </c>
      <c r="L49" s="35">
        <f t="shared" si="2"/>
        <v>0</v>
      </c>
    </row>
    <row r="50" spans="1:12" ht="23.25">
      <c r="A50" s="14">
        <v>1101030102</v>
      </c>
      <c r="B50" s="29" t="s">
        <v>0</v>
      </c>
      <c r="C50" s="167" t="s">
        <v>120</v>
      </c>
      <c r="D50" s="182">
        <v>9320830827</v>
      </c>
      <c r="E50" s="183" t="s">
        <v>121</v>
      </c>
      <c r="F50" s="61">
        <v>26749499.18</v>
      </c>
      <c r="G50" s="61">
        <v>26427069.18</v>
      </c>
      <c r="H50" s="60" t="s">
        <v>93</v>
      </c>
      <c r="I50" s="33">
        <f t="shared" si="0"/>
        <v>322430</v>
      </c>
      <c r="J50" s="36"/>
      <c r="K50" s="35">
        <f t="shared" si="1"/>
        <v>26749499.18</v>
      </c>
      <c r="L50" s="35">
        <f t="shared" si="2"/>
        <v>0</v>
      </c>
    </row>
    <row r="51" spans="1:12" ht="23.25">
      <c r="A51" s="14">
        <v>1101030102</v>
      </c>
      <c r="B51" s="29"/>
      <c r="C51" s="167" t="s">
        <v>122</v>
      </c>
      <c r="D51" s="182">
        <v>9320821550</v>
      </c>
      <c r="E51" s="183" t="s">
        <v>123</v>
      </c>
      <c r="F51" s="61">
        <v>54052053.55</v>
      </c>
      <c r="G51" s="61">
        <v>61397074.65</v>
      </c>
      <c r="H51" s="60" t="s">
        <v>92</v>
      </c>
      <c r="I51" s="33">
        <f t="shared" si="0"/>
        <v>-7345021.1000000015</v>
      </c>
      <c r="J51" s="36"/>
      <c r="K51" s="35">
        <f t="shared" si="1"/>
        <v>54052053.55</v>
      </c>
      <c r="L51" s="35">
        <f t="shared" si="2"/>
        <v>0</v>
      </c>
    </row>
    <row r="52" spans="1:12" ht="23.25">
      <c r="A52" s="14">
        <v>1101030102</v>
      </c>
      <c r="B52" s="29"/>
      <c r="C52" s="167" t="s">
        <v>125</v>
      </c>
      <c r="D52" s="182">
        <v>9320917914</v>
      </c>
      <c r="E52" s="183" t="s">
        <v>126</v>
      </c>
      <c r="F52" s="61">
        <v>7099.7</v>
      </c>
      <c r="G52" s="61">
        <v>99.7</v>
      </c>
      <c r="H52" s="60" t="s">
        <v>93</v>
      </c>
      <c r="I52" s="33">
        <f t="shared" si="0"/>
        <v>7000</v>
      </c>
      <c r="J52" s="36"/>
      <c r="K52" s="35">
        <f t="shared" si="1"/>
        <v>7099.7</v>
      </c>
      <c r="L52" s="35">
        <f t="shared" si="2"/>
        <v>0</v>
      </c>
    </row>
    <row r="53" spans="1:12" ht="23.25">
      <c r="A53" s="62" t="s">
        <v>113</v>
      </c>
      <c r="B53" s="15" t="s">
        <v>114</v>
      </c>
      <c r="C53" s="184" t="s">
        <v>115</v>
      </c>
      <c r="D53" s="182">
        <v>65210028561</v>
      </c>
      <c r="E53" s="183" t="s">
        <v>116</v>
      </c>
      <c r="F53" s="61">
        <v>30000000</v>
      </c>
      <c r="G53" s="61">
        <v>30000000</v>
      </c>
      <c r="H53" s="60"/>
      <c r="I53" s="33">
        <f t="shared" si="0"/>
        <v>0</v>
      </c>
      <c r="J53" s="36"/>
      <c r="K53" s="35">
        <f t="shared" si="1"/>
        <v>30000000</v>
      </c>
      <c r="L53" s="35">
        <f t="shared" si="2"/>
        <v>0</v>
      </c>
    </row>
    <row r="54" spans="2:12" ht="23.25">
      <c r="B54" s="15" t="s">
        <v>118</v>
      </c>
      <c r="C54" s="167" t="s">
        <v>62</v>
      </c>
      <c r="D54" s="182">
        <v>300020091397</v>
      </c>
      <c r="E54" s="183" t="s">
        <v>117</v>
      </c>
      <c r="F54" s="61">
        <v>10419049.05</v>
      </c>
      <c r="G54" s="61">
        <v>10419049.05</v>
      </c>
      <c r="H54" s="60"/>
      <c r="I54" s="33">
        <f t="shared" si="0"/>
        <v>0</v>
      </c>
      <c r="J54" s="36"/>
      <c r="K54" s="35">
        <f t="shared" si="1"/>
        <v>10419049.05</v>
      </c>
      <c r="L54" s="35">
        <f t="shared" si="2"/>
        <v>0</v>
      </c>
    </row>
    <row r="55" spans="1:12" ht="23.25">
      <c r="A55" s="14">
        <v>1101030102</v>
      </c>
      <c r="C55" s="167" t="s">
        <v>129</v>
      </c>
      <c r="D55" s="185" t="s">
        <v>128</v>
      </c>
      <c r="E55" s="183" t="s">
        <v>130</v>
      </c>
      <c r="F55" s="61"/>
      <c r="G55" s="61"/>
      <c r="H55" s="60"/>
      <c r="I55" s="33"/>
      <c r="J55" s="36"/>
      <c r="K55" s="35"/>
      <c r="L55" s="35"/>
    </row>
    <row r="56" spans="3:11" ht="24" thickBot="1">
      <c r="C56" s="36"/>
      <c r="D56" s="63"/>
      <c r="F56" s="64">
        <f>SUM(F21:F54)</f>
        <v>518220306.59000003</v>
      </c>
      <c r="G56" s="64">
        <f>SUM(G21:G54)</f>
        <v>544550611.9999999</v>
      </c>
      <c r="I56" s="33"/>
      <c r="J56" s="22"/>
      <c r="K56" s="22"/>
    </row>
    <row r="57" spans="3:11" ht="24" thickBot="1">
      <c r="C57" s="65"/>
      <c r="D57" s="66"/>
      <c r="E57" s="14" t="s">
        <v>119</v>
      </c>
      <c r="F57" s="67"/>
      <c r="G57" s="68">
        <f>I57</f>
        <v>-26330305.41</v>
      </c>
      <c r="I57" s="96">
        <f>SUM(I21:I56)</f>
        <v>-26330305.41</v>
      </c>
      <c r="J57" s="95"/>
      <c r="K57" s="96">
        <f>SUM(K21:K56)</f>
        <v>518220306.59000003</v>
      </c>
    </row>
    <row r="58" spans="5:9" ht="24" thickTop="1">
      <c r="E58" s="24" t="s">
        <v>31</v>
      </c>
      <c r="G58" s="69">
        <f>I3</f>
        <v>0</v>
      </c>
      <c r="I58" s="22"/>
    </row>
    <row r="59" spans="4:9" ht="25.5">
      <c r="D59" s="16" t="s">
        <v>98</v>
      </c>
      <c r="E59" s="24" t="s">
        <v>97</v>
      </c>
      <c r="F59" s="493">
        <f>G57+G58</f>
        <v>-26330305.41</v>
      </c>
      <c r="G59" s="494"/>
      <c r="I59" s="70">
        <f>SUM(I57:I58)</f>
        <v>-26330305.41</v>
      </c>
    </row>
    <row r="60" spans="7:9" ht="23.25">
      <c r="G60" s="53"/>
      <c r="I60" s="22"/>
    </row>
    <row r="61" spans="5:10" ht="23.25">
      <c r="E61" s="71"/>
      <c r="F61" s="72"/>
      <c r="G61" s="73"/>
      <c r="H61" s="74"/>
      <c r="I61" s="75"/>
      <c r="J61" s="76" t="s">
        <v>91</v>
      </c>
    </row>
    <row r="63" spans="1:12" s="77" customFormat="1" ht="23.25">
      <c r="A63" s="30"/>
      <c r="B63" s="77" t="s">
        <v>78</v>
      </c>
      <c r="D63" s="78"/>
      <c r="E63" s="79"/>
      <c r="F63" s="25"/>
      <c r="G63" s="80"/>
      <c r="H63" s="30"/>
      <c r="L63" s="87"/>
    </row>
    <row r="64" spans="1:12" s="77" customFormat="1" ht="23.25">
      <c r="A64" s="30"/>
      <c r="B64" s="77" t="s">
        <v>85</v>
      </c>
      <c r="D64" s="81"/>
      <c r="E64" s="82" t="s">
        <v>101</v>
      </c>
      <c r="F64" s="83" t="s">
        <v>109</v>
      </c>
      <c r="G64" s="83">
        <f>J64</f>
        <v>7040609.800000005</v>
      </c>
      <c r="H64" s="84"/>
      <c r="I64" s="85"/>
      <c r="J64" s="87">
        <f>I33+I35+I39+I43+I44+I46+I50+I52</f>
        <v>7040609.800000005</v>
      </c>
      <c r="K64" s="87"/>
      <c r="L64" s="80"/>
    </row>
    <row r="65" spans="1:12" s="77" customFormat="1" ht="23.25">
      <c r="A65" s="30"/>
      <c r="D65" s="81"/>
      <c r="E65" s="82" t="s">
        <v>102</v>
      </c>
      <c r="F65" s="86">
        <v>5212010199</v>
      </c>
      <c r="G65" s="83">
        <f>I68-G64</f>
        <v>26330305.409999996</v>
      </c>
      <c r="H65" s="84"/>
      <c r="I65" s="85"/>
      <c r="J65" s="87"/>
      <c r="K65" s="87"/>
      <c r="L65" s="87"/>
    </row>
    <row r="66" spans="1:12" s="77" customFormat="1" ht="23.25">
      <c r="A66" s="30"/>
      <c r="D66" s="72"/>
      <c r="E66" s="82"/>
      <c r="F66" s="86" t="s">
        <v>41</v>
      </c>
      <c r="G66" s="83"/>
      <c r="H66" s="84"/>
      <c r="I66" s="85"/>
      <c r="J66" s="87"/>
      <c r="K66" s="93">
        <f>K64+K65</f>
        <v>0</v>
      </c>
      <c r="L66" s="93"/>
    </row>
    <row r="67" spans="1:11" s="77" customFormat="1" ht="23.25">
      <c r="A67" s="30"/>
      <c r="D67" s="72"/>
      <c r="E67" s="82"/>
      <c r="F67" s="86"/>
      <c r="G67" s="83" t="s">
        <v>112</v>
      </c>
      <c r="H67" s="84"/>
      <c r="I67" s="88">
        <f>I58</f>
        <v>0</v>
      </c>
      <c r="K67" s="107">
        <v>699.93</v>
      </c>
    </row>
    <row r="68" spans="1:11" s="32" customFormat="1" ht="23.25">
      <c r="A68" s="31"/>
      <c r="B68" s="77" t="s">
        <v>79</v>
      </c>
      <c r="D68" s="89"/>
      <c r="E68" s="90"/>
      <c r="F68" s="91"/>
      <c r="G68" s="83" t="s">
        <v>110</v>
      </c>
      <c r="H68" s="84"/>
      <c r="I68" s="88">
        <v>33370915.21</v>
      </c>
      <c r="J68" s="33">
        <f>I21+I36+I37+I38+I40+I45+I47+I51</f>
        <v>-33370915.210000005</v>
      </c>
      <c r="K68" s="107">
        <v>31445618.38</v>
      </c>
    </row>
    <row r="69" spans="4:11" ht="23.25">
      <c r="D69" s="92"/>
      <c r="E69" s="90"/>
      <c r="F69" s="83"/>
      <c r="G69" s="83" t="s">
        <v>106</v>
      </c>
      <c r="H69" s="84"/>
      <c r="I69" s="88"/>
      <c r="J69" s="36">
        <f>J68+I68</f>
        <v>0</v>
      </c>
      <c r="K69" s="108">
        <v>1491307.64</v>
      </c>
    </row>
    <row r="70" spans="4:11" ht="24" thickBot="1">
      <c r="D70" s="92"/>
      <c r="E70" s="71"/>
      <c r="F70" s="73"/>
      <c r="G70" s="73"/>
      <c r="H70" s="74"/>
      <c r="I70" s="94"/>
      <c r="K70" s="110">
        <f>SUM(K66:K69)</f>
        <v>32937625.95</v>
      </c>
    </row>
    <row r="71" spans="6:11" ht="24" thickTop="1">
      <c r="F71" s="25"/>
      <c r="I71" s="22"/>
      <c r="J71" s="36"/>
      <c r="K71" s="109"/>
    </row>
    <row r="72" spans="6:10" ht="23.25">
      <c r="F72" s="25"/>
      <c r="J72" s="15" t="s">
        <v>98</v>
      </c>
    </row>
    <row r="73" ht="23.25">
      <c r="F73" s="25"/>
    </row>
    <row r="74" spans="9:10" ht="23.25">
      <c r="I74" s="22"/>
      <c r="J74" s="15" t="s">
        <v>98</v>
      </c>
    </row>
  </sheetData>
  <sheetProtection/>
  <mergeCells count="9">
    <mergeCell ref="F59:G59"/>
    <mergeCell ref="H1:I2"/>
    <mergeCell ref="A1:A2"/>
    <mergeCell ref="B1:B2"/>
    <mergeCell ref="C1:C2"/>
    <mergeCell ref="D1:D2"/>
    <mergeCell ref="E1:E2"/>
    <mergeCell ref="F1:F2"/>
    <mergeCell ref="G1:G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0.8661417322834646" right="0.15748031496062992" top="0.5905511811023623" bottom="0.4330708661417323" header="0.2755905511811024" footer="0.2362204724409449"/>
  <pageSetup horizontalDpi="600" verticalDpi="600" orientation="portrait" paperSize="9" scale="90" r:id="rId1"/>
  <headerFooter alignWithMargins="0">
    <oddFooter>&amp;CPage &amp;P of &amp;N&amp;Rวันที่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4"/>
  <sheetViews>
    <sheetView zoomScale="140" zoomScaleNormal="140" zoomScalePageLayoutView="0" workbookViewId="0" topLeftCell="E1">
      <pane ySplit="2985" topLeftCell="A55" activePane="bottomLeft" state="split"/>
      <selection pane="topLeft" activeCell="A1" sqref="A1:IV16384"/>
      <selection pane="bottomLeft" activeCell="AQ55" sqref="AQ55"/>
    </sheetView>
  </sheetViews>
  <sheetFormatPr defaultColWidth="9.140625" defaultRowHeight="12.75"/>
  <cols>
    <col min="1" max="1" width="13.28125" style="369" bestFit="1" customWidth="1"/>
    <col min="2" max="2" width="14.57421875" style="370" hidden="1" customWidth="1"/>
    <col min="3" max="3" width="56.00390625" style="370" customWidth="1"/>
    <col min="4" max="4" width="17.00390625" style="371" bestFit="1" customWidth="1"/>
    <col min="5" max="5" width="15.8515625" style="380" customWidth="1"/>
    <col min="6" max="6" width="18.421875" style="376" hidden="1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4" width="15.7109375" style="373" hidden="1" customWidth="1"/>
    <col min="25" max="25" width="15.7109375" style="375" hidden="1" customWidth="1"/>
    <col min="26" max="37" width="15.7109375" style="373" hidden="1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241397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 hidden="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 hidden="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35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 hidden="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 hidden="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 hidden="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 hidden="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 hidden="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454">
        <f>'พย.60'!AN17</f>
        <v>0</v>
      </c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454">
        <f>'พย.60'!AN18</f>
        <v>126300</v>
      </c>
      <c r="AL18" s="345">
        <f t="shared" si="0"/>
        <v>126300</v>
      </c>
      <c r="AN18" s="377">
        <v>127000</v>
      </c>
      <c r="AO18" s="381">
        <f>AN18-AL18</f>
        <v>700</v>
      </c>
      <c r="AP18" s="369" t="s">
        <v>93</v>
      </c>
      <c r="AQ18" s="357">
        <f>AL18+AO18</f>
        <v>127000</v>
      </c>
    </row>
    <row r="19" spans="5:43" ht="21">
      <c r="E19" s="372"/>
      <c r="F19" s="454">
        <f>'พย.60'!AN19</f>
        <v>0</v>
      </c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454">
        <f>'พย.60'!AN20</f>
        <v>0</v>
      </c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454">
        <f>'พย.60'!AN21</f>
        <v>109715383.14</v>
      </c>
      <c r="G21" s="373">
        <v>233922.49</v>
      </c>
      <c r="H21" s="373"/>
      <c r="J21" s="373">
        <f>1162043.17+276301.18</f>
        <v>1438344.3499999999</v>
      </c>
      <c r="L21" s="373">
        <f>816665+269519</f>
        <v>1086184</v>
      </c>
      <c r="M21" s="373">
        <f>83714.74+2920</f>
        <v>86634.74</v>
      </c>
      <c r="N21" s="373">
        <v>175232.15</v>
      </c>
      <c r="R21" s="373">
        <f>3563126.29+655038</f>
        <v>4218164.29</v>
      </c>
      <c r="S21" s="373">
        <f>143220.54+26000</f>
        <v>169220.54</v>
      </c>
      <c r="T21" s="373">
        <f>300+69178.7+6728</f>
        <v>76206.7</v>
      </c>
      <c r="U21" s="373">
        <f>210998+35749</f>
        <v>246747</v>
      </c>
      <c r="X21" s="374">
        <f>442941+1550-6</f>
        <v>444485</v>
      </c>
      <c r="Y21" s="375">
        <f>212321.78-9000000</f>
        <v>-8787678.22</v>
      </c>
      <c r="Z21" s="373">
        <f>153920.67+25958</f>
        <v>179878.67</v>
      </c>
      <c r="AA21" s="373">
        <f>221196+178656.36</f>
        <v>399852.36</v>
      </c>
      <c r="AB21" s="373">
        <f>188838.83</f>
        <v>188838.83</v>
      </c>
      <c r="AE21" s="373">
        <f>485832.27</f>
        <v>485832.27</v>
      </c>
      <c r="AF21" s="373">
        <f>226981.89+81422</f>
        <v>308403.89</v>
      </c>
      <c r="AG21" s="373">
        <f>5125+178131.97+21196</f>
        <v>204452.97</v>
      </c>
      <c r="AH21" s="373">
        <f>1586823+180650</f>
        <v>1767473</v>
      </c>
      <c r="AI21" s="373">
        <f>1542232+337696</f>
        <v>1879928</v>
      </c>
      <c r="AL21" s="345">
        <f t="shared" si="0"/>
        <v>114517506.17</v>
      </c>
      <c r="AN21" s="451">
        <v>118364895.52</v>
      </c>
      <c r="AO21" s="381">
        <f>AN21-AL21</f>
        <v>3847389.349999994</v>
      </c>
      <c r="AP21" s="369" t="s">
        <v>93</v>
      </c>
      <c r="AQ21" s="357">
        <f>AL21+AO21</f>
        <v>118364895.52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454">
        <f>'พย.60'!AN22</f>
        <v>636095.24</v>
      </c>
      <c r="AL22" s="345">
        <f t="shared" si="0"/>
        <v>636095.24</v>
      </c>
      <c r="AN22" s="451">
        <v>637792.72</v>
      </c>
      <c r="AO22" s="381">
        <f aca="true" t="shared" si="1" ref="AO22:AO56">AN22-AL22</f>
        <v>1697.4799999999814</v>
      </c>
      <c r="AP22" s="369" t="s">
        <v>93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454">
        <f>'พย.60'!AN23</f>
        <v>8444.03</v>
      </c>
      <c r="AL23" s="345">
        <f t="shared" si="0"/>
        <v>8444.03</v>
      </c>
      <c r="AN23" s="451">
        <v>8499.95</v>
      </c>
      <c r="AO23" s="381">
        <f t="shared" si="1"/>
        <v>55.92000000000007</v>
      </c>
      <c r="AP23" s="369" t="s">
        <v>93</v>
      </c>
      <c r="AQ23" s="357">
        <f t="shared" si="2"/>
        <v>8499.95</v>
      </c>
      <c r="AR23" s="357">
        <f t="shared" si="3"/>
        <v>0</v>
      </c>
    </row>
    <row r="24" spans="1:44" ht="21">
      <c r="A24" s="369">
        <v>1101030102</v>
      </c>
      <c r="B24" s="370" t="s">
        <v>15</v>
      </c>
      <c r="C24" s="388" t="s">
        <v>52</v>
      </c>
      <c r="D24" s="371">
        <v>9092199648</v>
      </c>
      <c r="E24" s="372" t="s">
        <v>8</v>
      </c>
      <c r="F24" s="454">
        <f>'พย.60'!AN24</f>
        <v>174360.81</v>
      </c>
      <c r="AL24" s="345">
        <f t="shared" si="0"/>
        <v>174360.81</v>
      </c>
      <c r="AN24" s="451">
        <f>(H24)+SUM(I24:AM24)</f>
        <v>174360.81</v>
      </c>
      <c r="AO24" s="381">
        <f t="shared" si="1"/>
        <v>0</v>
      </c>
      <c r="AQ24" s="357">
        <f t="shared" si="2"/>
        <v>174360.81</v>
      </c>
      <c r="AR24" s="357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454">
        <f>'พย.60'!AN25</f>
        <v>690304.37</v>
      </c>
      <c r="AL25" s="345">
        <f t="shared" si="0"/>
        <v>690304.37</v>
      </c>
      <c r="AN25" s="451">
        <v>638377.03</v>
      </c>
      <c r="AO25" s="381">
        <f t="shared" si="1"/>
        <v>-51927.33999999997</v>
      </c>
      <c r="AP25" s="369" t="s">
        <v>92</v>
      </c>
      <c r="AQ25" s="357">
        <f t="shared" si="2"/>
        <v>638377.03</v>
      </c>
      <c r="AR25" s="357">
        <f t="shared" si="3"/>
        <v>0</v>
      </c>
    </row>
    <row r="26" spans="1:44" ht="21">
      <c r="A26" s="369">
        <v>1101030102</v>
      </c>
      <c r="B26" s="370" t="s">
        <v>2</v>
      </c>
      <c r="C26" s="388" t="s">
        <v>53</v>
      </c>
      <c r="D26" s="371">
        <v>9321151400</v>
      </c>
      <c r="E26" s="372" t="s">
        <v>17</v>
      </c>
      <c r="F26" s="454">
        <f>'พย.60'!AN26</f>
        <v>15793.57</v>
      </c>
      <c r="AL26" s="345">
        <f t="shared" si="0"/>
        <v>15793.57</v>
      </c>
      <c r="AN26" s="451">
        <v>15829.4</v>
      </c>
      <c r="AO26" s="381">
        <f t="shared" si="1"/>
        <v>35.82999999999993</v>
      </c>
      <c r="AP26" s="369" t="s">
        <v>93</v>
      </c>
      <c r="AQ26" s="357">
        <f t="shared" si="2"/>
        <v>15829.4</v>
      </c>
      <c r="AR26" s="357">
        <f t="shared" si="3"/>
        <v>0</v>
      </c>
    </row>
    <row r="27" spans="1:44" ht="21">
      <c r="A27" s="369">
        <v>1101030102</v>
      </c>
      <c r="B27" s="370" t="s">
        <v>2</v>
      </c>
      <c r="C27" s="388" t="s">
        <v>54</v>
      </c>
      <c r="D27" s="371">
        <v>9321484736</v>
      </c>
      <c r="E27" s="372" t="s">
        <v>19</v>
      </c>
      <c r="F27" s="454">
        <f>'พย.60'!AN27</f>
        <v>0</v>
      </c>
      <c r="AL27" s="345">
        <f t="shared" si="0"/>
        <v>0</v>
      </c>
      <c r="AN27" s="451">
        <f>(H27)+SUM(I27:AM27)</f>
        <v>0</v>
      </c>
      <c r="AO27" s="381">
        <f t="shared" si="1"/>
        <v>0</v>
      </c>
      <c r="AQ27" s="357">
        <f t="shared" si="2"/>
        <v>0</v>
      </c>
      <c r="AR27" s="357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454">
        <f>'พย.60'!AN28</f>
        <v>41917.54</v>
      </c>
      <c r="AL28" s="345">
        <f t="shared" si="0"/>
        <v>41917.54</v>
      </c>
      <c r="AN28" s="451">
        <v>41996.78</v>
      </c>
      <c r="AO28" s="381">
        <f t="shared" si="1"/>
        <v>79.23999999999796</v>
      </c>
      <c r="AP28" s="369" t="s">
        <v>93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454">
        <f>'พย.60'!AN29</f>
        <v>3913.86</v>
      </c>
      <c r="AL29" s="345">
        <f t="shared" si="0"/>
        <v>3913.86</v>
      </c>
      <c r="AN29" s="451">
        <v>3921.26</v>
      </c>
      <c r="AO29" s="381">
        <f t="shared" si="1"/>
        <v>7.400000000000091</v>
      </c>
      <c r="AP29" s="369" t="s">
        <v>93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454">
        <f>'พย.60'!AN30</f>
        <v>4387.09</v>
      </c>
      <c r="AL30" s="345">
        <f t="shared" si="0"/>
        <v>4387.09</v>
      </c>
      <c r="AN30" s="451">
        <v>4395.38</v>
      </c>
      <c r="AO30" s="381">
        <f t="shared" si="1"/>
        <v>8.289999999999964</v>
      </c>
      <c r="AP30" s="369" t="s">
        <v>93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454">
        <f>'พย.60'!AN31</f>
        <v>101071.68</v>
      </c>
      <c r="AL31" s="345">
        <f t="shared" si="0"/>
        <v>101071.68</v>
      </c>
      <c r="AN31" s="451">
        <v>101262.75</v>
      </c>
      <c r="AO31" s="381">
        <f t="shared" si="1"/>
        <v>191.07000000000698</v>
      </c>
      <c r="AP31" s="369" t="s">
        <v>93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454">
        <f>'พย.60'!AN32</f>
        <v>0</v>
      </c>
      <c r="G32" s="397"/>
      <c r="H32" s="398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f>(H32)+SUM(I32:AM32)</f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454">
        <f>'พย.60'!AN33</f>
        <v>11235987.22</v>
      </c>
      <c r="X33" s="373">
        <v>-6</v>
      </c>
      <c r="AL33" s="345">
        <f t="shared" si="0"/>
        <v>11235981.22</v>
      </c>
      <c r="AN33" s="451">
        <v>4353162.41</v>
      </c>
      <c r="AO33" s="381">
        <f t="shared" si="1"/>
        <v>-6882818.8100000005</v>
      </c>
      <c r="AP33" s="369" t="s">
        <v>92</v>
      </c>
      <c r="AQ33" s="357">
        <f t="shared" si="2"/>
        <v>4353162.41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454">
        <f>'พย.60'!AN34</f>
        <v>0</v>
      </c>
      <c r="G34" s="397"/>
      <c r="H34" s="398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>
        <f>(H34)+SUM(I34:AM34)</f>
        <v>0</v>
      </c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454">
        <f>'พย.60'!AN35</f>
        <v>180853601.19</v>
      </c>
      <c r="H35" s="373"/>
      <c r="AL35" s="345">
        <f t="shared" si="0"/>
        <v>180853601.19</v>
      </c>
      <c r="AN35" s="452">
        <v>153297261.84</v>
      </c>
      <c r="AO35" s="405">
        <f t="shared" si="1"/>
        <v>-27556339.349999994</v>
      </c>
      <c r="AP35" s="369" t="s">
        <v>92</v>
      </c>
      <c r="AQ35" s="357">
        <f t="shared" si="2"/>
        <v>153297261.84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454">
        <f>'พย.60'!AN36</f>
        <v>12141607.55</v>
      </c>
      <c r="T36" s="373">
        <f>165660</f>
        <v>165660</v>
      </c>
      <c r="Y36" s="375">
        <f>2958834</f>
        <v>2958834</v>
      </c>
      <c r="AF36" s="373">
        <v>2646000</v>
      </c>
      <c r="AL36" s="345">
        <f aca="true" t="shared" si="4" ref="AL36:AL56">(F36)+SUM(G36:AK36)</f>
        <v>17912101.55</v>
      </c>
      <c r="AN36" s="451">
        <v>15558480.2</v>
      </c>
      <c r="AO36" s="381">
        <f t="shared" si="1"/>
        <v>-2353621.3500000015</v>
      </c>
      <c r="AP36" s="369" t="s">
        <v>92</v>
      </c>
      <c r="AQ36" s="357">
        <f t="shared" si="2"/>
        <v>15558480.2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454">
        <f>'พย.60'!AN37</f>
        <v>43435129.1</v>
      </c>
      <c r="R37" s="373">
        <v>3380883.16</v>
      </c>
      <c r="AL37" s="345">
        <f t="shared" si="4"/>
        <v>46816012.260000005</v>
      </c>
      <c r="AN37" s="451">
        <v>46368154.1</v>
      </c>
      <c r="AO37" s="381">
        <f t="shared" si="1"/>
        <v>-447858.1600000039</v>
      </c>
      <c r="AP37" s="369" t="s">
        <v>92</v>
      </c>
      <c r="AQ37" s="357">
        <f t="shared" si="2"/>
        <v>46368154.1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454">
        <f>'พย.60'!AN38</f>
        <v>13229643</v>
      </c>
      <c r="AL38" s="345">
        <f t="shared" si="4"/>
        <v>13229643</v>
      </c>
      <c r="AN38" s="451">
        <v>13145166.23</v>
      </c>
      <c r="AO38" s="381">
        <f t="shared" si="1"/>
        <v>-84476.76999999955</v>
      </c>
      <c r="AP38" s="369" t="s">
        <v>92</v>
      </c>
      <c r="AQ38" s="357">
        <f t="shared" si="2"/>
        <v>13145166.23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454">
        <f>'พย.60'!AN39</f>
        <v>10893819.98</v>
      </c>
      <c r="AL39" s="345">
        <f t="shared" si="4"/>
        <v>10893819.98</v>
      </c>
      <c r="AN39" s="451">
        <v>10914280.85</v>
      </c>
      <c r="AO39" s="381">
        <f t="shared" si="1"/>
        <v>20460.86999999918</v>
      </c>
      <c r="AP39" s="369" t="s">
        <v>93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454">
        <f>'พย.60'!AN40</f>
        <v>6147827.9</v>
      </c>
      <c r="G40" s="373">
        <v>365</v>
      </c>
      <c r="J40" s="373">
        <v>365</v>
      </c>
      <c r="L40" s="373">
        <v>1965</v>
      </c>
      <c r="N40" s="373">
        <v>1600</v>
      </c>
      <c r="R40" s="373">
        <v>3200</v>
      </c>
      <c r="T40" s="373">
        <v>1600</v>
      </c>
      <c r="X40" s="373">
        <v>365</v>
      </c>
      <c r="Y40" s="375">
        <v>730</v>
      </c>
      <c r="AA40" s="373">
        <v>365</v>
      </c>
      <c r="AB40" s="373">
        <v>4800</v>
      </c>
      <c r="AE40" s="373">
        <v>365</v>
      </c>
      <c r="AI40" s="373">
        <v>730</v>
      </c>
      <c r="AL40" s="345">
        <f t="shared" si="4"/>
        <v>6164277.9</v>
      </c>
      <c r="AN40" s="451">
        <v>6153932.96</v>
      </c>
      <c r="AO40" s="381">
        <f t="shared" si="1"/>
        <v>-10344.94000000041</v>
      </c>
      <c r="AP40" s="369" t="s">
        <v>92</v>
      </c>
      <c r="AQ40" s="357">
        <f t="shared" si="2"/>
        <v>6153932.96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454">
        <f>'พย.60'!AN41</f>
        <v>571143.55</v>
      </c>
      <c r="AL41" s="345">
        <f t="shared" si="4"/>
        <v>571143.55</v>
      </c>
      <c r="AN41" s="451">
        <v>572223.25</v>
      </c>
      <c r="AO41" s="381">
        <f t="shared" si="1"/>
        <v>1079.6999999999534</v>
      </c>
      <c r="AP41" s="369" t="s">
        <v>93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454">
        <f>'พย.60'!AN42</f>
        <v>0</v>
      </c>
      <c r="AL42" s="345">
        <f t="shared" si="4"/>
        <v>0</v>
      </c>
      <c r="AN42" s="451">
        <f>(H42)+SUM(I42:AM42)</f>
        <v>0</v>
      </c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454">
        <f>'พย.60'!AN43</f>
        <v>1786418.74</v>
      </c>
      <c r="AL43" s="345">
        <f t="shared" si="4"/>
        <v>1786418.74</v>
      </c>
      <c r="AN43" s="451">
        <v>1789699.13</v>
      </c>
      <c r="AO43" s="381">
        <f t="shared" si="1"/>
        <v>3280.3899999998976</v>
      </c>
      <c r="AP43" s="369" t="s">
        <v>93</v>
      </c>
      <c r="AQ43" s="357">
        <f t="shared" si="2"/>
        <v>1789699.13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454">
        <f>'พย.60'!AN44</f>
        <v>26388.71</v>
      </c>
      <c r="T44" s="373">
        <v>41600</v>
      </c>
      <c r="AL44" s="345">
        <f t="shared" si="4"/>
        <v>67988.70999999999</v>
      </c>
      <c r="AN44" s="451">
        <v>26388.71</v>
      </c>
      <c r="AO44" s="381">
        <f t="shared" si="1"/>
        <v>-41599.99999999999</v>
      </c>
      <c r="AP44" s="369" t="s">
        <v>92</v>
      </c>
      <c r="AQ44" s="357">
        <f t="shared" si="2"/>
        <v>26388.71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454">
        <f>'พย.60'!AN45</f>
        <v>379138.02</v>
      </c>
      <c r="AL45" s="345">
        <f t="shared" si="4"/>
        <v>379138.02</v>
      </c>
      <c r="AN45" s="451">
        <v>363551.97</v>
      </c>
      <c r="AO45" s="381">
        <f t="shared" si="1"/>
        <v>-15586.050000000047</v>
      </c>
      <c r="AP45" s="369" t="s">
        <v>92</v>
      </c>
      <c r="AQ45" s="357">
        <f t="shared" si="2"/>
        <v>363551.97</v>
      </c>
      <c r="AR45" s="357">
        <f t="shared" si="3"/>
        <v>0</v>
      </c>
    </row>
    <row r="46" spans="1:44" ht="21">
      <c r="A46" s="369">
        <v>1101030102</v>
      </c>
      <c r="B46" s="370" t="s">
        <v>13</v>
      </c>
      <c r="C46" s="388" t="s">
        <v>68</v>
      </c>
      <c r="D46" s="371">
        <v>5081084530</v>
      </c>
      <c r="E46" s="372" t="s">
        <v>84</v>
      </c>
      <c r="F46" s="454">
        <f>'พย.60'!AN46</f>
        <v>123420.31</v>
      </c>
      <c r="AL46" s="345">
        <f t="shared" si="4"/>
        <v>123420.31</v>
      </c>
      <c r="AN46" s="451">
        <f>(H46)+SUM(I46:AM46)</f>
        <v>123420.31</v>
      </c>
      <c r="AO46" s="381">
        <f t="shared" si="1"/>
        <v>0</v>
      </c>
      <c r="AQ46" s="357">
        <f t="shared" si="2"/>
        <v>123420.31</v>
      </c>
      <c r="AR46" s="357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454">
        <f>'พย.60'!AN47</f>
        <v>22366763.2</v>
      </c>
      <c r="X47" s="373">
        <v>7830</v>
      </c>
      <c r="AI47" s="373">
        <v>3000</v>
      </c>
      <c r="AL47" s="345">
        <f t="shared" si="4"/>
        <v>22377593.2</v>
      </c>
      <c r="AN47" s="451">
        <v>38207598.84</v>
      </c>
      <c r="AO47" s="381">
        <f t="shared" si="1"/>
        <v>15830005.640000004</v>
      </c>
      <c r="AP47" s="369" t="s">
        <v>93</v>
      </c>
      <c r="AQ47" s="357">
        <f t="shared" si="2"/>
        <v>38207598.84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454">
        <f>'พย.60'!AN48</f>
        <v>84703.91</v>
      </c>
      <c r="AL48" s="345">
        <f t="shared" si="4"/>
        <v>84703.91</v>
      </c>
      <c r="AN48" s="451">
        <v>84922.26</v>
      </c>
      <c r="AO48" s="381">
        <f t="shared" si="1"/>
        <v>218.34999999999127</v>
      </c>
      <c r="AP48" s="369" t="s">
        <v>93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454">
        <f>'พย.60'!AN49</f>
        <v>6818941.34</v>
      </c>
      <c r="R49" s="373">
        <v>481633.48</v>
      </c>
      <c r="AL49" s="345">
        <f t="shared" si="4"/>
        <v>7300574.82</v>
      </c>
      <c r="AN49" s="451">
        <v>7313143.88</v>
      </c>
      <c r="AO49" s="381">
        <f t="shared" si="1"/>
        <v>12569.05999999959</v>
      </c>
      <c r="AP49" s="369" t="s">
        <v>93</v>
      </c>
      <c r="AQ49" s="357">
        <f t="shared" si="2"/>
        <v>7313143.88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454">
        <f>'พย.60'!AN50</f>
        <v>19546000.39</v>
      </c>
      <c r="M50" s="373">
        <v>1000</v>
      </c>
      <c r="AB50" s="373">
        <v>300100</v>
      </c>
      <c r="AF50" s="373">
        <v>20300</v>
      </c>
      <c r="AH50" s="373">
        <v>300000</v>
      </c>
      <c r="AL50" s="345">
        <f t="shared" si="4"/>
        <v>20167400.39</v>
      </c>
      <c r="AN50" s="451">
        <v>15670550.53</v>
      </c>
      <c r="AO50" s="381">
        <f t="shared" si="1"/>
        <v>-4496849.860000001</v>
      </c>
      <c r="AP50" s="369" t="s">
        <v>92</v>
      </c>
      <c r="AQ50" s="357">
        <f t="shared" si="2"/>
        <v>15670550.53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454">
        <f>'พย.60'!AN51</f>
        <v>48821265.7</v>
      </c>
      <c r="AL51" s="345">
        <f t="shared" si="4"/>
        <v>48821265.7</v>
      </c>
      <c r="AN51" s="451">
        <v>43696139.95</v>
      </c>
      <c r="AO51" s="381">
        <f t="shared" si="1"/>
        <v>-5125125.75</v>
      </c>
      <c r="AP51" s="369" t="s">
        <v>92</v>
      </c>
      <c r="AQ51" s="357">
        <f t="shared" si="2"/>
        <v>43696139.95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454">
        <f>'พย.60'!AN52</f>
        <v>7183.11</v>
      </c>
      <c r="AL52" s="345">
        <f t="shared" si="4"/>
        <v>7183.11</v>
      </c>
      <c r="AN52" s="451">
        <v>7272.31</v>
      </c>
      <c r="AO52" s="381">
        <f t="shared" si="1"/>
        <v>89.20000000000073</v>
      </c>
      <c r="AP52" s="369" t="s">
        <v>93</v>
      </c>
      <c r="AQ52" s="357">
        <f t="shared" si="2"/>
        <v>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454">
        <f>'พย.60'!AN53</f>
        <v>1856830.34</v>
      </c>
      <c r="AL53" s="345">
        <f t="shared" si="4"/>
        <v>1856830.34</v>
      </c>
      <c r="AN53" s="451">
        <v>1899383.12</v>
      </c>
      <c r="AO53" s="381">
        <f t="shared" si="1"/>
        <v>42552.78000000003</v>
      </c>
      <c r="AP53" s="369" t="s">
        <v>93</v>
      </c>
      <c r="AQ53" s="357">
        <f t="shared" si="2"/>
        <v>1899383.12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461"/>
      <c r="G54" s="462"/>
      <c r="H54" s="463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>
        <v>249455.62</v>
      </c>
      <c r="AJ54" s="462"/>
      <c r="AK54" s="462"/>
      <c r="AL54" s="345">
        <f t="shared" si="4"/>
        <v>249455.62</v>
      </c>
      <c r="AM54" s="464"/>
      <c r="AN54" s="465">
        <v>249463.31</v>
      </c>
      <c r="AO54" s="381">
        <f t="shared" si="1"/>
        <v>7.690000000002328</v>
      </c>
      <c r="AP54" s="456" t="s">
        <v>93</v>
      </c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454">
        <f>'พย.60'!AN54</f>
        <v>30000000</v>
      </c>
      <c r="AL55" s="345">
        <f t="shared" si="4"/>
        <v>30000000</v>
      </c>
      <c r="AN55" s="451">
        <f>(H55)+SUM(I55:AM55)</f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54">
        <f>'พย.60'!AN55</f>
        <v>10419049.05</v>
      </c>
      <c r="AL56" s="345">
        <f t="shared" si="4"/>
        <v>10419049.05</v>
      </c>
      <c r="AM56" s="412"/>
      <c r="AN56" s="453">
        <v>10533644.86</v>
      </c>
      <c r="AO56" s="415">
        <f t="shared" si="1"/>
        <v>114595.80999999866</v>
      </c>
      <c r="AP56" s="416" t="s">
        <v>93</v>
      </c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532262833.64</v>
      </c>
      <c r="G57" s="374">
        <f aca="true" t="shared" si="5" ref="G57:AL57">SUM(G3:G56)</f>
        <v>234287.49</v>
      </c>
      <c r="H57" s="421">
        <f t="shared" si="5"/>
        <v>0</v>
      </c>
      <c r="I57" s="421">
        <f t="shared" si="5"/>
        <v>0</v>
      </c>
      <c r="J57" s="421">
        <f t="shared" si="5"/>
        <v>1438709.3499999999</v>
      </c>
      <c r="K57" s="421">
        <f t="shared" si="5"/>
        <v>0</v>
      </c>
      <c r="L57" s="421">
        <f t="shared" si="5"/>
        <v>1088149</v>
      </c>
      <c r="M57" s="421">
        <f t="shared" si="5"/>
        <v>87634.74</v>
      </c>
      <c r="N57" s="421">
        <f t="shared" si="5"/>
        <v>176832.15</v>
      </c>
      <c r="O57" s="421">
        <f t="shared" si="5"/>
        <v>0</v>
      </c>
      <c r="P57" s="421">
        <f t="shared" si="5"/>
        <v>0</v>
      </c>
      <c r="Q57" s="421">
        <f t="shared" si="5"/>
        <v>0</v>
      </c>
      <c r="R57" s="421">
        <f t="shared" si="5"/>
        <v>8083880.93</v>
      </c>
      <c r="S57" s="421">
        <f t="shared" si="5"/>
        <v>169220.54</v>
      </c>
      <c r="T57" s="421">
        <f t="shared" si="5"/>
        <v>285066.7</v>
      </c>
      <c r="U57" s="421">
        <f t="shared" si="5"/>
        <v>246747</v>
      </c>
      <c r="V57" s="421">
        <f t="shared" si="5"/>
        <v>0</v>
      </c>
      <c r="W57" s="421">
        <f t="shared" si="5"/>
        <v>0</v>
      </c>
      <c r="X57" s="421">
        <f t="shared" si="5"/>
        <v>452674</v>
      </c>
      <c r="Y57" s="422">
        <f t="shared" si="5"/>
        <v>-5828114.220000001</v>
      </c>
      <c r="Z57" s="421">
        <f t="shared" si="5"/>
        <v>179878.67</v>
      </c>
      <c r="AA57" s="421">
        <f t="shared" si="5"/>
        <v>400217.36</v>
      </c>
      <c r="AB57" s="421">
        <f t="shared" si="5"/>
        <v>493738.82999999996</v>
      </c>
      <c r="AC57" s="421">
        <f t="shared" si="5"/>
        <v>0</v>
      </c>
      <c r="AD57" s="421">
        <f t="shared" si="5"/>
        <v>0</v>
      </c>
      <c r="AE57" s="421">
        <f t="shared" si="5"/>
        <v>486197.27</v>
      </c>
      <c r="AF57" s="421">
        <f t="shared" si="5"/>
        <v>2974703.89</v>
      </c>
      <c r="AG57" s="421">
        <f t="shared" si="5"/>
        <v>204452.97</v>
      </c>
      <c r="AH57" s="421">
        <f t="shared" si="5"/>
        <v>2067473</v>
      </c>
      <c r="AI57" s="421">
        <f t="shared" si="5"/>
        <v>2133113.62</v>
      </c>
      <c r="AJ57" s="421">
        <f t="shared" si="5"/>
        <v>0</v>
      </c>
      <c r="AK57" s="421">
        <f t="shared" si="5"/>
        <v>0</v>
      </c>
      <c r="AL57" s="423">
        <f t="shared" si="5"/>
        <v>547637696.9299998</v>
      </c>
      <c r="AM57" s="424"/>
      <c r="AN57" s="425">
        <f>SUM(AN3:AN56)</f>
        <v>520446172.62000006</v>
      </c>
      <c r="AO57" s="425">
        <f>SUM(AO3:AO56)</f>
        <v>-27191524.31</v>
      </c>
      <c r="AP57" s="427"/>
      <c r="AQ57" s="428">
        <f t="shared" si="2"/>
        <v>520446172.6199998</v>
      </c>
      <c r="AR57" s="357">
        <f t="shared" si="3"/>
        <v>0</v>
      </c>
    </row>
    <row r="58" spans="1:45" s="438" customFormat="1" ht="21">
      <c r="A58" s="511" t="s">
        <v>145</v>
      </c>
      <c r="B58" s="512"/>
      <c r="C58" s="513"/>
      <c r="D58" s="429">
        <f>AO18+AO21+AO22+AO23+AO26+AO28+AO29+AO30+AO31+AO39+AO41+AO43+AO47+AO48+AO49+AO52+AO53+AO54+AO56</f>
        <v>19875024.069999997</v>
      </c>
      <c r="E58" s="430"/>
      <c r="F58" s="431"/>
      <c r="G58" s="432">
        <f>F57+G57</f>
        <v>532497121.13</v>
      </c>
      <c r="H58" s="433">
        <f aca="true" t="shared" si="6" ref="H58:AK58">G58+H57</f>
        <v>532497121.13</v>
      </c>
      <c r="I58" s="433">
        <f t="shared" si="6"/>
        <v>532497121.13</v>
      </c>
      <c r="J58" s="433">
        <f t="shared" si="6"/>
        <v>533935830.48</v>
      </c>
      <c r="K58" s="433">
        <f t="shared" si="6"/>
        <v>533935830.48</v>
      </c>
      <c r="L58" s="433">
        <f t="shared" si="6"/>
        <v>535023979.48</v>
      </c>
      <c r="M58" s="433">
        <f t="shared" si="6"/>
        <v>535111614.22</v>
      </c>
      <c r="N58" s="433">
        <f t="shared" si="6"/>
        <v>535288446.37</v>
      </c>
      <c r="O58" s="433">
        <f t="shared" si="6"/>
        <v>535288446.37</v>
      </c>
      <c r="P58" s="433">
        <f t="shared" si="6"/>
        <v>535288446.37</v>
      </c>
      <c r="Q58" s="433">
        <f t="shared" si="6"/>
        <v>535288446.37</v>
      </c>
      <c r="R58" s="433">
        <f t="shared" si="6"/>
        <v>543372327.3</v>
      </c>
      <c r="S58" s="433">
        <f t="shared" si="6"/>
        <v>543541547.8399999</v>
      </c>
      <c r="T58" s="433">
        <f t="shared" si="6"/>
        <v>543826614.54</v>
      </c>
      <c r="U58" s="433">
        <f t="shared" si="6"/>
        <v>544073361.54</v>
      </c>
      <c r="V58" s="433">
        <f t="shared" si="6"/>
        <v>544073361.54</v>
      </c>
      <c r="W58" s="433">
        <f t="shared" si="6"/>
        <v>544073361.54</v>
      </c>
      <c r="X58" s="433">
        <f t="shared" si="6"/>
        <v>544526035.54</v>
      </c>
      <c r="Y58" s="433">
        <f t="shared" si="6"/>
        <v>538697921.3199999</v>
      </c>
      <c r="Z58" s="433">
        <f t="shared" si="6"/>
        <v>538877799.9899999</v>
      </c>
      <c r="AA58" s="433">
        <f t="shared" si="6"/>
        <v>539278017.3499999</v>
      </c>
      <c r="AB58" s="433">
        <f t="shared" si="6"/>
        <v>539771756.18</v>
      </c>
      <c r="AC58" s="433">
        <f t="shared" si="6"/>
        <v>539771756.18</v>
      </c>
      <c r="AD58" s="433">
        <f t="shared" si="6"/>
        <v>539771756.18</v>
      </c>
      <c r="AE58" s="433">
        <f>AD58+AE57</f>
        <v>540257953.4499999</v>
      </c>
      <c r="AF58" s="433">
        <f t="shared" si="6"/>
        <v>543232657.3399999</v>
      </c>
      <c r="AG58" s="433">
        <f t="shared" si="6"/>
        <v>543437110.31</v>
      </c>
      <c r="AH58" s="433">
        <f t="shared" si="6"/>
        <v>545504583.31</v>
      </c>
      <c r="AI58" s="433">
        <f t="shared" si="6"/>
        <v>547637696.93</v>
      </c>
      <c r="AJ58" s="433">
        <f t="shared" si="6"/>
        <v>547637696.93</v>
      </c>
      <c r="AK58" s="433">
        <f t="shared" si="6"/>
        <v>547637696.93</v>
      </c>
      <c r="AL58" s="433"/>
      <c r="AM58" s="434"/>
      <c r="AN58" s="435"/>
      <c r="AO58" s="436"/>
      <c r="AP58" s="437"/>
      <c r="AS58" s="434" t="s">
        <v>131</v>
      </c>
    </row>
    <row r="59" spans="1:45" ht="21">
      <c r="A59" s="514" t="s">
        <v>140</v>
      </c>
      <c r="B59" s="515"/>
      <c r="C59" s="516"/>
      <c r="D59" s="281">
        <v>0</v>
      </c>
      <c r="E59" s="300"/>
      <c r="F59" s="290"/>
      <c r="G59" s="439"/>
      <c r="I59" s="374"/>
      <c r="J59" s="374"/>
      <c r="AS59" s="376" t="s">
        <v>132</v>
      </c>
    </row>
    <row r="60" spans="1:43" ht="21">
      <c r="A60" s="301"/>
      <c r="B60" s="282"/>
      <c r="C60" s="280" t="s">
        <v>138</v>
      </c>
      <c r="D60" s="283"/>
      <c r="E60" s="302">
        <f>D58+D59</f>
        <v>19875024.069999997</v>
      </c>
      <c r="F60" s="290"/>
      <c r="G60" s="439"/>
      <c r="AQ60" s="357">
        <f>D58+D62</f>
        <v>-27191524.31</v>
      </c>
    </row>
    <row r="61" spans="1:38" ht="21.75" thickBot="1">
      <c r="A61" s="303"/>
      <c r="B61" s="282"/>
      <c r="C61" s="284"/>
      <c r="D61" s="285"/>
      <c r="E61" s="304"/>
      <c r="F61" s="290"/>
      <c r="G61" s="441"/>
      <c r="AL61" s="442"/>
    </row>
    <row r="62" spans="1:43" ht="21.75" thickBot="1">
      <c r="A62" s="517" t="s">
        <v>146</v>
      </c>
      <c r="B62" s="518"/>
      <c r="C62" s="519"/>
      <c r="D62" s="281">
        <f>E64</f>
        <v>-47066548.379999995</v>
      </c>
      <c r="E62" s="304"/>
      <c r="F62" s="290" t="s">
        <v>144</v>
      </c>
      <c r="G62" s="441"/>
      <c r="AK62" s="443"/>
      <c r="AL62" s="444">
        <f>E64+D58</f>
        <v>-27191524.31</v>
      </c>
      <c r="AM62" s="291"/>
      <c r="AQ62" s="357"/>
    </row>
    <row r="63" spans="1:43" ht="21">
      <c r="A63" s="301"/>
      <c r="B63" s="286"/>
      <c r="C63" s="287" t="s">
        <v>141</v>
      </c>
      <c r="D63" s="280"/>
      <c r="E63" s="305">
        <v>0</v>
      </c>
      <c r="F63" s="290"/>
      <c r="G63" s="441"/>
      <c r="AL63" s="445"/>
      <c r="AN63" s="468">
        <f>AL62-AO57</f>
        <v>0</v>
      </c>
      <c r="AO63" s="378" t="s">
        <v>80</v>
      </c>
      <c r="AQ63" s="357">
        <f>AQ62+AN62</f>
        <v>0</v>
      </c>
    </row>
    <row r="64" spans="1:6" ht="21">
      <c r="A64" s="303"/>
      <c r="B64" s="282"/>
      <c r="C64" s="288" t="s">
        <v>139</v>
      </c>
      <c r="D64" s="289"/>
      <c r="E64" s="306">
        <f>AO25+AO33+AO35+AO36+AO37+AO38+AO40+AO44+AO45+AO50+AO51</f>
        <v>-47066548.379999995</v>
      </c>
      <c r="F64" s="291"/>
    </row>
    <row r="65" spans="1:6" ht="21.75" thickBot="1">
      <c r="A65" s="307"/>
      <c r="B65" s="308"/>
      <c r="C65" s="308"/>
      <c r="D65" s="309"/>
      <c r="E65" s="310"/>
      <c r="F65" s="291"/>
    </row>
    <row r="66" spans="1:5" ht="21">
      <c r="A66" s="446"/>
      <c r="B66" s="447"/>
      <c r="C66" s="447"/>
      <c r="D66" s="448"/>
      <c r="E66" s="449"/>
    </row>
    <row r="67" ht="21">
      <c r="D67" s="450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</sheetData>
  <sheetProtection/>
  <mergeCells count="10">
    <mergeCell ref="F1:F2"/>
    <mergeCell ref="G1:AK1"/>
    <mergeCell ref="A58:C58"/>
    <mergeCell ref="A59:C59"/>
    <mergeCell ref="A62:C62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.4724409448818898" right="0.15748031496062992" top="0.31496062992125984" bottom="0.2755905511811024" header="0.2755905511811024" footer="0.2362204724409449"/>
  <pageSetup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75"/>
  <sheetViews>
    <sheetView zoomScale="120" zoomScaleNormal="120" zoomScalePageLayoutView="0" workbookViewId="0" topLeftCell="E1">
      <selection activeCell="AN23" sqref="AN23"/>
    </sheetView>
  </sheetViews>
  <sheetFormatPr defaultColWidth="9.140625" defaultRowHeight="12.75"/>
  <cols>
    <col min="1" max="1" width="13.28125" style="369" bestFit="1" customWidth="1"/>
    <col min="2" max="2" width="14.57421875" style="370" customWidth="1"/>
    <col min="3" max="3" width="56.00390625" style="370" customWidth="1"/>
    <col min="4" max="4" width="17.00390625" style="371" bestFit="1" customWidth="1"/>
    <col min="5" max="5" width="15.8515625" style="380" customWidth="1"/>
    <col min="6" max="6" width="18.421875" style="376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4" width="15.7109375" style="373" hidden="1" customWidth="1"/>
    <col min="25" max="25" width="15.7109375" style="375" hidden="1" customWidth="1"/>
    <col min="26" max="37" width="15.7109375" style="373" hidden="1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hidden="1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241397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 hidden="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 hidden="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6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 hidden="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 hidden="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 hidden="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 hidden="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 hidden="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454">
        <f>'ธค.60'!AQ17</f>
        <v>0</v>
      </c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454">
        <f>'ธค.60'!AQ18</f>
        <v>127000</v>
      </c>
      <c r="I18" s="373">
        <v>7400</v>
      </c>
      <c r="AL18" s="345">
        <f t="shared" si="0"/>
        <v>134400</v>
      </c>
      <c r="AN18" s="377">
        <v>126300</v>
      </c>
      <c r="AO18" s="381">
        <f>AN18-AL18</f>
        <v>-8100</v>
      </c>
      <c r="AP18" s="369" t="s">
        <v>92</v>
      </c>
      <c r="AQ18" s="357">
        <f>AL18+AO18</f>
        <v>126300</v>
      </c>
    </row>
    <row r="19" spans="5:43" ht="21">
      <c r="E19" s="372"/>
      <c r="F19" s="454">
        <f>'ธค.60'!AQ19</f>
        <v>0</v>
      </c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454">
        <f>'ธค.60'!AQ20</f>
        <v>0</v>
      </c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454">
        <f>'ธค.60'!AQ21</f>
        <v>118364895.52</v>
      </c>
      <c r="H21" s="373"/>
      <c r="I21" s="373">
        <f>-2363025.88+648853.81+50000</f>
        <v>-1664172.0699999998</v>
      </c>
      <c r="J21" s="373">
        <f>798549-116424+106257.81</f>
        <v>788382.81</v>
      </c>
      <c r="K21" s="373">
        <f>180564+203128-421245.98</f>
        <v>-37553.97999999998</v>
      </c>
      <c r="N21" s="373">
        <f>-196139.63+434272+422970</f>
        <v>661102.37</v>
      </c>
      <c r="O21" s="373">
        <f>35752.7+2432.62</f>
        <v>38185.32</v>
      </c>
      <c r="P21" s="373">
        <f>203362</f>
        <v>203362</v>
      </c>
      <c r="Q21" s="373">
        <f>109732.17+89260</f>
        <v>198992.16999999998</v>
      </c>
      <c r="R21" s="373">
        <f>1614026.74+124447-7140</f>
        <v>1731333.74</v>
      </c>
      <c r="U21" s="373">
        <f>398803+269965</f>
        <v>668768</v>
      </c>
      <c r="V21" s="373">
        <f>114794+1085.6</f>
        <v>115879.6</v>
      </c>
      <c r="W21" s="373">
        <f>154695+78</f>
        <v>154773</v>
      </c>
      <c r="X21" s="374">
        <f>383923+242227.65</f>
        <v>626150.65</v>
      </c>
      <c r="Y21" s="375">
        <f>12125.35+900</f>
        <v>13025.35</v>
      </c>
      <c r="AB21" s="373">
        <v>361782.27</v>
      </c>
      <c r="AC21" s="373">
        <f>784950+243040+126829</f>
        <v>1154819</v>
      </c>
      <c r="AD21" s="373">
        <f>137650+59598</f>
        <v>197248</v>
      </c>
      <c r="AE21" s="373">
        <f>161608+172297.2+158366</f>
        <v>492271.2</v>
      </c>
      <c r="AF21" s="373">
        <f>177537.09+189809+177299+80347-1500000</f>
        <v>-875007.91</v>
      </c>
      <c r="AI21" s="373">
        <f>365121.91+2909.04</f>
        <v>368030.94999999995</v>
      </c>
      <c r="AJ21" s="373">
        <f>283203+235554+76069</f>
        <v>594826</v>
      </c>
      <c r="AK21" s="373">
        <f>103300.54+6000+6497558</f>
        <v>6606858.54</v>
      </c>
      <c r="AL21" s="345">
        <f t="shared" si="0"/>
        <v>130763952.53</v>
      </c>
      <c r="AN21" s="451">
        <v>105822178.12</v>
      </c>
      <c r="AO21" s="381">
        <f>AN21-AL21</f>
        <v>-24941774.409999996</v>
      </c>
      <c r="AP21" s="369" t="s">
        <v>92</v>
      </c>
      <c r="AQ21" s="357">
        <f>AL21+AO21</f>
        <v>105822178.12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454">
        <f>'ธค.60'!AQ22</f>
        <v>637792.72</v>
      </c>
      <c r="AL22" s="345">
        <f t="shared" si="0"/>
        <v>637792.72</v>
      </c>
      <c r="AN22" s="451">
        <v>637792.72</v>
      </c>
      <c r="AO22" s="381">
        <f aca="true" t="shared" si="1" ref="AO22:AO56">AN22-AL22</f>
        <v>0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454">
        <f>'ธค.60'!AQ23</f>
        <v>8499.95</v>
      </c>
      <c r="AL23" s="345">
        <f t="shared" si="0"/>
        <v>8499.95</v>
      </c>
      <c r="AN23" s="451">
        <v>8499.95</v>
      </c>
      <c r="AO23" s="381">
        <f t="shared" si="1"/>
        <v>0</v>
      </c>
      <c r="AQ23" s="357">
        <f t="shared" si="2"/>
        <v>8499.95</v>
      </c>
      <c r="AR23" s="357">
        <f t="shared" si="3"/>
        <v>0</v>
      </c>
    </row>
    <row r="24" spans="1:44" s="470" customFormat="1" ht="21">
      <c r="A24" s="469">
        <v>1101030102</v>
      </c>
      <c r="B24" s="470" t="s">
        <v>15</v>
      </c>
      <c r="C24" s="471" t="s">
        <v>52</v>
      </c>
      <c r="D24" s="472">
        <v>9092199648</v>
      </c>
      <c r="E24" s="473" t="s">
        <v>8</v>
      </c>
      <c r="F24" s="474">
        <f>'ธค.60'!AQ24</f>
        <v>174360.81</v>
      </c>
      <c r="G24" s="475"/>
      <c r="H24" s="476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4">
        <f t="shared" si="0"/>
        <v>174360.81</v>
      </c>
      <c r="AM24" s="475"/>
      <c r="AN24" s="474">
        <v>0</v>
      </c>
      <c r="AO24" s="477">
        <f t="shared" si="1"/>
        <v>-174360.81</v>
      </c>
      <c r="AP24" s="469" t="s">
        <v>92</v>
      </c>
      <c r="AQ24" s="478">
        <f t="shared" si="2"/>
        <v>0</v>
      </c>
      <c r="AR24" s="478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454">
        <f>'ธค.60'!AQ25</f>
        <v>638377.03</v>
      </c>
      <c r="Q25" s="373">
        <v>351.54</v>
      </c>
      <c r="AL25" s="345">
        <f t="shared" si="0"/>
        <v>638728.5700000001</v>
      </c>
      <c r="AN25" s="451">
        <v>557749.32</v>
      </c>
      <c r="AO25" s="381">
        <f t="shared" si="1"/>
        <v>-80979.25000000012</v>
      </c>
      <c r="AP25" s="369" t="s">
        <v>92</v>
      </c>
      <c r="AQ25" s="357">
        <f t="shared" si="2"/>
        <v>557749.32</v>
      </c>
      <c r="AR25" s="357">
        <f t="shared" si="3"/>
        <v>0</v>
      </c>
    </row>
    <row r="26" spans="1:44" s="470" customFormat="1" ht="21">
      <c r="A26" s="469">
        <v>1101030102</v>
      </c>
      <c r="B26" s="470" t="s">
        <v>2</v>
      </c>
      <c r="C26" s="471" t="s">
        <v>53</v>
      </c>
      <c r="D26" s="472">
        <v>9321151400</v>
      </c>
      <c r="E26" s="473" t="s">
        <v>17</v>
      </c>
      <c r="F26" s="474">
        <f>'ธค.60'!AQ26</f>
        <v>15829.4</v>
      </c>
      <c r="G26" s="475"/>
      <c r="H26" s="476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4">
        <f t="shared" si="0"/>
        <v>15829.4</v>
      </c>
      <c r="AM26" s="475"/>
      <c r="AN26" s="474">
        <v>0</v>
      </c>
      <c r="AO26" s="477">
        <f t="shared" si="1"/>
        <v>-15829.4</v>
      </c>
      <c r="AP26" s="469" t="s">
        <v>92</v>
      </c>
      <c r="AQ26" s="478">
        <f t="shared" si="2"/>
        <v>0</v>
      </c>
      <c r="AR26" s="478">
        <f t="shared" si="3"/>
        <v>0</v>
      </c>
    </row>
    <row r="27" spans="1:44" s="470" customFormat="1" ht="21">
      <c r="A27" s="469">
        <v>1101030102</v>
      </c>
      <c r="B27" s="470" t="s">
        <v>2</v>
      </c>
      <c r="C27" s="471" t="s">
        <v>54</v>
      </c>
      <c r="D27" s="472">
        <v>9321484736</v>
      </c>
      <c r="E27" s="473" t="s">
        <v>19</v>
      </c>
      <c r="F27" s="474">
        <f>'ธค.60'!AQ27</f>
        <v>0</v>
      </c>
      <c r="G27" s="475"/>
      <c r="H27" s="476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4">
        <f t="shared" si="0"/>
        <v>0</v>
      </c>
      <c r="AM27" s="475"/>
      <c r="AN27" s="474"/>
      <c r="AO27" s="477">
        <f t="shared" si="1"/>
        <v>0</v>
      </c>
      <c r="AP27" s="469"/>
      <c r="AQ27" s="478">
        <f t="shared" si="2"/>
        <v>0</v>
      </c>
      <c r="AR27" s="478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454">
        <f>'ธค.60'!AQ28</f>
        <v>41996.78</v>
      </c>
      <c r="AL28" s="345">
        <f t="shared" si="0"/>
        <v>41996.78</v>
      </c>
      <c r="AN28" s="451">
        <v>41996.78</v>
      </c>
      <c r="AO28" s="381">
        <f t="shared" si="1"/>
        <v>0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454">
        <f>'ธค.60'!AQ29</f>
        <v>3921.26</v>
      </c>
      <c r="AL29" s="345">
        <f t="shared" si="0"/>
        <v>3921.26</v>
      </c>
      <c r="AN29" s="451">
        <v>3921.26</v>
      </c>
      <c r="AO29" s="381">
        <f t="shared" si="1"/>
        <v>0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454">
        <f>'ธค.60'!AQ30</f>
        <v>4395.38</v>
      </c>
      <c r="AL30" s="345">
        <f t="shared" si="0"/>
        <v>4395.38</v>
      </c>
      <c r="AN30" s="451">
        <v>4395.38</v>
      </c>
      <c r="AO30" s="381">
        <f t="shared" si="1"/>
        <v>0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454">
        <f>'ธค.60'!AQ31</f>
        <v>101262.75</v>
      </c>
      <c r="AL31" s="345">
        <f t="shared" si="0"/>
        <v>101262.75</v>
      </c>
      <c r="AN31" s="451">
        <v>101262.75</v>
      </c>
      <c r="AO31" s="381">
        <f t="shared" si="1"/>
        <v>0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454">
        <f>'ธค.60'!AQ32</f>
        <v>0</v>
      </c>
      <c r="G32" s="397"/>
      <c r="H32" s="398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454">
        <f>'ธค.60'!AQ33</f>
        <v>4353162.41</v>
      </c>
      <c r="AL33" s="345">
        <f t="shared" si="0"/>
        <v>4353162.41</v>
      </c>
      <c r="AN33" s="451">
        <v>7182235.18</v>
      </c>
      <c r="AO33" s="381">
        <f t="shared" si="1"/>
        <v>2829072.7699999996</v>
      </c>
      <c r="AP33" s="369" t="s">
        <v>93</v>
      </c>
      <c r="AQ33" s="357">
        <f t="shared" si="2"/>
        <v>7182235.18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454">
        <f>'ธค.60'!AQ34</f>
        <v>0</v>
      </c>
      <c r="G34" s="397"/>
      <c r="H34" s="398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454">
        <f>'ธค.60'!AQ35</f>
        <v>153297261.84</v>
      </c>
      <c r="H35" s="373"/>
      <c r="AL35" s="345">
        <f t="shared" si="0"/>
        <v>153297261.84</v>
      </c>
      <c r="AN35" s="452">
        <v>275007543.9</v>
      </c>
      <c r="AO35" s="405">
        <f t="shared" si="1"/>
        <v>121710282.05999997</v>
      </c>
      <c r="AP35" s="369" t="s">
        <v>93</v>
      </c>
      <c r="AQ35" s="357">
        <f t="shared" si="2"/>
        <v>275007543.9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454">
        <f>'ธค.60'!AQ36</f>
        <v>15558480.2</v>
      </c>
      <c r="AL36" s="345">
        <f t="shared" si="0"/>
        <v>15558480.2</v>
      </c>
      <c r="AN36" s="451">
        <v>13576665.53</v>
      </c>
      <c r="AO36" s="381">
        <f t="shared" si="1"/>
        <v>-1981814.67</v>
      </c>
      <c r="AP36" s="369" t="s">
        <v>92</v>
      </c>
      <c r="AQ36" s="357">
        <f t="shared" si="2"/>
        <v>13576665.53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454">
        <f>'ธค.60'!AQ37</f>
        <v>46368154.1</v>
      </c>
      <c r="AL37" s="345">
        <f t="shared" si="0"/>
        <v>46368154.1</v>
      </c>
      <c r="AN37" s="451">
        <v>45722282.09</v>
      </c>
      <c r="AO37" s="381">
        <f t="shared" si="1"/>
        <v>-645872.0099999979</v>
      </c>
      <c r="AP37" s="369" t="s">
        <v>92</v>
      </c>
      <c r="AQ37" s="357">
        <f t="shared" si="2"/>
        <v>45722282.09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454">
        <f>'ธค.60'!AQ38</f>
        <v>13145166.23</v>
      </c>
      <c r="AL38" s="345">
        <f t="shared" si="0"/>
        <v>13145166.23</v>
      </c>
      <c r="AN38" s="451">
        <v>12129643</v>
      </c>
      <c r="AO38" s="381">
        <f t="shared" si="1"/>
        <v>-1015523.2300000004</v>
      </c>
      <c r="AP38" s="369" t="s">
        <v>92</v>
      </c>
      <c r="AQ38" s="357">
        <f t="shared" si="2"/>
        <v>12129643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454">
        <f>'ธค.60'!AQ39</f>
        <v>10914280.85</v>
      </c>
      <c r="AL39" s="345">
        <f t="shared" si="0"/>
        <v>10914280.85</v>
      </c>
      <c r="AN39" s="451">
        <v>10914280.85</v>
      </c>
      <c r="AO39" s="381">
        <f t="shared" si="1"/>
        <v>0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454">
        <f>'ธค.60'!AQ40</f>
        <v>6153932.96</v>
      </c>
      <c r="N40" s="373">
        <f>4530</f>
        <v>4530</v>
      </c>
      <c r="P40" s="373">
        <v>3200</v>
      </c>
      <c r="Q40" s="373">
        <v>2330</v>
      </c>
      <c r="R40" s="373">
        <f>3200</f>
        <v>3200</v>
      </c>
      <c r="U40" s="373">
        <v>1600</v>
      </c>
      <c r="X40" s="373">
        <v>365</v>
      </c>
      <c r="Y40" s="375">
        <v>3930</v>
      </c>
      <c r="AD40" s="373">
        <v>1965</v>
      </c>
      <c r="AJ40" s="373">
        <v>365</v>
      </c>
      <c r="AL40" s="345">
        <f t="shared" si="0"/>
        <v>6175417.96</v>
      </c>
      <c r="AN40" s="451">
        <v>4721322.77</v>
      </c>
      <c r="AO40" s="381">
        <f t="shared" si="1"/>
        <v>-1454095.1900000004</v>
      </c>
      <c r="AP40" s="369" t="s">
        <v>92</v>
      </c>
      <c r="AQ40" s="357">
        <f t="shared" si="2"/>
        <v>4721322.77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454">
        <f>'ธค.60'!AQ41</f>
        <v>572223.25</v>
      </c>
      <c r="AL41" s="345">
        <f t="shared" si="0"/>
        <v>572223.25</v>
      </c>
      <c r="AN41" s="451">
        <v>572223.25</v>
      </c>
      <c r="AO41" s="381">
        <f t="shared" si="1"/>
        <v>0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454">
        <f>'ธค.60'!AQ42</f>
        <v>0</v>
      </c>
      <c r="AL42" s="345">
        <f t="shared" si="0"/>
        <v>0</v>
      </c>
      <c r="AN42" s="451"/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454">
        <f>'ธค.60'!AQ43</f>
        <v>1789699.13</v>
      </c>
      <c r="AL43" s="345">
        <f t="shared" si="0"/>
        <v>1789699.13</v>
      </c>
      <c r="AN43" s="451">
        <v>1786418.74</v>
      </c>
      <c r="AO43" s="381">
        <f t="shared" si="1"/>
        <v>-3280.3899999998976</v>
      </c>
      <c r="AP43" s="369" t="s">
        <v>92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454">
        <f>'ธค.60'!AQ44</f>
        <v>26388.71</v>
      </c>
      <c r="N44" s="373">
        <f>37900</f>
        <v>37900</v>
      </c>
      <c r="AL44" s="345">
        <f t="shared" si="0"/>
        <v>64288.71</v>
      </c>
      <c r="AN44" s="451">
        <v>26388.71</v>
      </c>
      <c r="AO44" s="381">
        <f t="shared" si="1"/>
        <v>-37900</v>
      </c>
      <c r="AP44" s="369" t="s">
        <v>92</v>
      </c>
      <c r="AQ44" s="357">
        <f t="shared" si="2"/>
        <v>26388.71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454">
        <f>'ธค.60'!AQ45</f>
        <v>363551.97</v>
      </c>
      <c r="AL45" s="345">
        <f t="shared" si="0"/>
        <v>363551.97</v>
      </c>
      <c r="AN45" s="451">
        <v>369076.97</v>
      </c>
      <c r="AO45" s="381">
        <f t="shared" si="1"/>
        <v>5525</v>
      </c>
      <c r="AP45" s="369" t="s">
        <v>93</v>
      </c>
      <c r="AQ45" s="357">
        <f t="shared" si="2"/>
        <v>369076.97</v>
      </c>
      <c r="AR45" s="357">
        <f t="shared" si="3"/>
        <v>0</v>
      </c>
    </row>
    <row r="46" spans="1:44" s="470" customFormat="1" ht="21">
      <c r="A46" s="469">
        <v>1101030102</v>
      </c>
      <c r="B46" s="470" t="s">
        <v>13</v>
      </c>
      <c r="C46" s="471" t="s">
        <v>68</v>
      </c>
      <c r="D46" s="472">
        <v>5081084530</v>
      </c>
      <c r="E46" s="473" t="s">
        <v>84</v>
      </c>
      <c r="F46" s="474">
        <f>'ธค.60'!AQ46</f>
        <v>123420.31</v>
      </c>
      <c r="G46" s="475"/>
      <c r="H46" s="476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>
        <v>5525</v>
      </c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4">
        <f t="shared" si="0"/>
        <v>128945.31</v>
      </c>
      <c r="AM46" s="475"/>
      <c r="AN46" s="474">
        <v>0</v>
      </c>
      <c r="AO46" s="477">
        <f t="shared" si="1"/>
        <v>-128945.31</v>
      </c>
      <c r="AP46" s="469" t="s">
        <v>92</v>
      </c>
      <c r="AQ46" s="478">
        <f t="shared" si="2"/>
        <v>0</v>
      </c>
      <c r="AR46" s="478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454">
        <f>'ธค.60'!AQ47</f>
        <v>38207598.84</v>
      </c>
      <c r="AL47" s="345">
        <f t="shared" si="0"/>
        <v>38207598.84</v>
      </c>
      <c r="AN47" s="451">
        <v>37499358.63</v>
      </c>
      <c r="AO47" s="381">
        <f t="shared" si="1"/>
        <v>-708240.2100000009</v>
      </c>
      <c r="AP47" s="369" t="s">
        <v>92</v>
      </c>
      <c r="AQ47" s="357">
        <f t="shared" si="2"/>
        <v>37499358.63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454">
        <f>'ธค.60'!AQ48</f>
        <v>84922.26</v>
      </c>
      <c r="AL48" s="345">
        <f t="shared" si="0"/>
        <v>84922.26</v>
      </c>
      <c r="AN48" s="451">
        <v>84922.26</v>
      </c>
      <c r="AO48" s="381">
        <f t="shared" si="1"/>
        <v>0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454">
        <f>'ธค.60'!AQ49</f>
        <v>7313143.88</v>
      </c>
      <c r="AL49" s="345">
        <f t="shared" si="0"/>
        <v>7313143.88</v>
      </c>
      <c r="AN49" s="451">
        <v>7313143.88</v>
      </c>
      <c r="AO49" s="381">
        <f t="shared" si="1"/>
        <v>0</v>
      </c>
      <c r="AQ49" s="357">
        <f t="shared" si="2"/>
        <v>7313143.88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454">
        <f>'ธค.60'!AQ50</f>
        <v>15670550.53</v>
      </c>
      <c r="O50" s="373">
        <v>4200</v>
      </c>
      <c r="U50" s="373">
        <v>10000</v>
      </c>
      <c r="AB50" s="373">
        <v>13000</v>
      </c>
      <c r="AC50" s="373">
        <f>1000</f>
        <v>1000</v>
      </c>
      <c r="AD50" s="373">
        <v>33957</v>
      </c>
      <c r="AL50" s="345">
        <f t="shared" si="0"/>
        <v>15732707.53</v>
      </c>
      <c r="AN50" s="451">
        <v>14490082.07</v>
      </c>
      <c r="AO50" s="381">
        <f t="shared" si="1"/>
        <v>-1242625.459999999</v>
      </c>
      <c r="AP50" s="369" t="s">
        <v>92</v>
      </c>
      <c r="AQ50" s="357">
        <f t="shared" si="2"/>
        <v>14490082.07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454">
        <f>'ธค.60'!AQ51</f>
        <v>43696139.95</v>
      </c>
      <c r="AL51" s="345">
        <f t="shared" si="0"/>
        <v>43696139.95</v>
      </c>
      <c r="AN51" s="451">
        <v>43646905.7</v>
      </c>
      <c r="AO51" s="381">
        <f t="shared" si="1"/>
        <v>-49234.25</v>
      </c>
      <c r="AP51" s="369" t="s">
        <v>92</v>
      </c>
      <c r="AQ51" s="357">
        <f t="shared" si="2"/>
        <v>43646905.7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454">
        <f>'ธค.60'!AQ52</f>
        <v>7272.31</v>
      </c>
      <c r="AL52" s="345">
        <f t="shared" si="0"/>
        <v>7272.31</v>
      </c>
      <c r="AN52" s="451">
        <v>7272.31</v>
      </c>
      <c r="AO52" s="381">
        <f t="shared" si="1"/>
        <v>0</v>
      </c>
      <c r="AQ52" s="357">
        <f t="shared" si="2"/>
        <v>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454">
        <f>'ธค.60'!AQ53</f>
        <v>1899383.12</v>
      </c>
      <c r="AL53" s="345">
        <f t="shared" si="0"/>
        <v>1899383.12</v>
      </c>
      <c r="AN53" s="451">
        <v>1941424.22</v>
      </c>
      <c r="AO53" s="381">
        <f t="shared" si="1"/>
        <v>42041.09999999986</v>
      </c>
      <c r="AP53" s="369" t="s">
        <v>93</v>
      </c>
      <c r="AQ53" s="357">
        <f t="shared" si="2"/>
        <v>1941424.22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454">
        <f>'ธค.60'!AQ54</f>
        <v>249463.31</v>
      </c>
      <c r="G54" s="462"/>
      <c r="H54" s="463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345">
        <f t="shared" si="0"/>
        <v>249463.31</v>
      </c>
      <c r="AM54" s="464"/>
      <c r="AN54" s="465">
        <v>249463.31</v>
      </c>
      <c r="AO54" s="381">
        <f t="shared" si="1"/>
        <v>0</v>
      </c>
      <c r="AP54" s="456"/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454">
        <f>'ธค.60'!AQ55</f>
        <v>30000000</v>
      </c>
      <c r="AL55" s="345">
        <f t="shared" si="0"/>
        <v>30000000</v>
      </c>
      <c r="AN55" s="451"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54">
        <f>'ธค.60'!AQ56</f>
        <v>10533644.86</v>
      </c>
      <c r="AL56" s="345">
        <f t="shared" si="0"/>
        <v>10533644.86</v>
      </c>
      <c r="AM56" s="412"/>
      <c r="AN56" s="453">
        <v>10533644.86</v>
      </c>
      <c r="AO56" s="415">
        <f t="shared" si="1"/>
        <v>0</v>
      </c>
      <c r="AP56" s="416"/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520446172.62000006</v>
      </c>
      <c r="G57" s="374">
        <f aca="true" t="shared" si="4" ref="G57:AL57">SUM(G3:G56)</f>
        <v>0</v>
      </c>
      <c r="H57" s="421">
        <f t="shared" si="4"/>
        <v>0</v>
      </c>
      <c r="I57" s="421">
        <f t="shared" si="4"/>
        <v>-1656772.0699999998</v>
      </c>
      <c r="J57" s="421">
        <f t="shared" si="4"/>
        <v>788382.81</v>
      </c>
      <c r="K57" s="421">
        <f t="shared" si="4"/>
        <v>-37553.97999999998</v>
      </c>
      <c r="L57" s="421">
        <f t="shared" si="4"/>
        <v>0</v>
      </c>
      <c r="M57" s="421">
        <f t="shared" si="4"/>
        <v>0</v>
      </c>
      <c r="N57" s="421">
        <f t="shared" si="4"/>
        <v>703532.37</v>
      </c>
      <c r="O57" s="421">
        <f t="shared" si="4"/>
        <v>42385.32</v>
      </c>
      <c r="P57" s="421">
        <f t="shared" si="4"/>
        <v>206562</v>
      </c>
      <c r="Q57" s="421">
        <f t="shared" si="4"/>
        <v>201673.71</v>
      </c>
      <c r="R57" s="421">
        <f t="shared" si="4"/>
        <v>1734533.74</v>
      </c>
      <c r="S57" s="421">
        <f t="shared" si="4"/>
        <v>0</v>
      </c>
      <c r="T57" s="421">
        <f t="shared" si="4"/>
        <v>0</v>
      </c>
      <c r="U57" s="421">
        <f t="shared" si="4"/>
        <v>680368</v>
      </c>
      <c r="V57" s="421">
        <f t="shared" si="4"/>
        <v>115879.6</v>
      </c>
      <c r="W57" s="421">
        <f t="shared" si="4"/>
        <v>154773</v>
      </c>
      <c r="X57" s="421">
        <f t="shared" si="4"/>
        <v>632040.65</v>
      </c>
      <c r="Y57" s="422">
        <f t="shared" si="4"/>
        <v>16955.35</v>
      </c>
      <c r="Z57" s="421">
        <f t="shared" si="4"/>
        <v>0</v>
      </c>
      <c r="AA57" s="421">
        <f t="shared" si="4"/>
        <v>0</v>
      </c>
      <c r="AB57" s="421">
        <f t="shared" si="4"/>
        <v>374782.27</v>
      </c>
      <c r="AC57" s="421">
        <f t="shared" si="4"/>
        <v>1155819</v>
      </c>
      <c r="AD57" s="421">
        <f t="shared" si="4"/>
        <v>233170</v>
      </c>
      <c r="AE57" s="421">
        <f t="shared" si="4"/>
        <v>492271.2</v>
      </c>
      <c r="AF57" s="421">
        <f t="shared" si="4"/>
        <v>-875007.91</v>
      </c>
      <c r="AG57" s="421">
        <f t="shared" si="4"/>
        <v>0</v>
      </c>
      <c r="AH57" s="421">
        <f t="shared" si="4"/>
        <v>0</v>
      </c>
      <c r="AI57" s="421">
        <f t="shared" si="4"/>
        <v>368030.94999999995</v>
      </c>
      <c r="AJ57" s="421">
        <f t="shared" si="4"/>
        <v>595191</v>
      </c>
      <c r="AK57" s="421">
        <f t="shared" si="4"/>
        <v>6606858.54</v>
      </c>
      <c r="AL57" s="423">
        <f t="shared" si="4"/>
        <v>532980048.17</v>
      </c>
      <c r="AM57" s="424"/>
      <c r="AN57" s="425">
        <f>SUM(AN3:AN56)</f>
        <v>625078394.51</v>
      </c>
      <c r="AO57" s="425">
        <f>SUM(AO3:AO56)</f>
        <v>92098346.33999996</v>
      </c>
      <c r="AP57" s="427"/>
      <c r="AQ57" s="428">
        <f t="shared" si="2"/>
        <v>625078394.51</v>
      </c>
      <c r="AR57" s="357">
        <f t="shared" si="3"/>
        <v>0</v>
      </c>
    </row>
    <row r="58" spans="1:44" ht="21.75" thickBot="1">
      <c r="A58" s="479"/>
      <c r="B58" s="480"/>
      <c r="C58" s="481"/>
      <c r="D58" s="482"/>
      <c r="E58" s="483"/>
      <c r="F58" s="484"/>
      <c r="G58" s="374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2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85"/>
      <c r="AM58" s="486"/>
      <c r="AN58" s="487"/>
      <c r="AO58" s="487"/>
      <c r="AP58" s="488"/>
      <c r="AQ58" s="428"/>
      <c r="AR58" s="357"/>
    </row>
    <row r="59" spans="1:45" s="438" customFormat="1" ht="21">
      <c r="A59" s="511" t="s">
        <v>145</v>
      </c>
      <c r="B59" s="512"/>
      <c r="C59" s="513"/>
      <c r="D59" s="429">
        <f>AO33+AO35+AO45+AO53</f>
        <v>124586920.92999996</v>
      </c>
      <c r="E59" s="430"/>
      <c r="F59" s="431"/>
      <c r="G59" s="432">
        <f>F57+G57</f>
        <v>520446172.62000006</v>
      </c>
      <c r="H59" s="433">
        <f aca="true" t="shared" si="5" ref="H59:AK59">G59+H57</f>
        <v>520446172.62000006</v>
      </c>
      <c r="I59" s="433">
        <f t="shared" si="5"/>
        <v>518789400.5500001</v>
      </c>
      <c r="J59" s="433">
        <f t="shared" si="5"/>
        <v>519577783.3600001</v>
      </c>
      <c r="K59" s="433">
        <f t="shared" si="5"/>
        <v>519540229.38000005</v>
      </c>
      <c r="L59" s="433">
        <f t="shared" si="5"/>
        <v>519540229.38000005</v>
      </c>
      <c r="M59" s="433">
        <f t="shared" si="5"/>
        <v>519540229.38000005</v>
      </c>
      <c r="N59" s="433">
        <f t="shared" si="5"/>
        <v>520243761.75000006</v>
      </c>
      <c r="O59" s="433">
        <f t="shared" si="5"/>
        <v>520286147.07000005</v>
      </c>
      <c r="P59" s="433">
        <f t="shared" si="5"/>
        <v>520492709.07000005</v>
      </c>
      <c r="Q59" s="433">
        <f t="shared" si="5"/>
        <v>520694382.78000003</v>
      </c>
      <c r="R59" s="433">
        <f t="shared" si="5"/>
        <v>522428916.52000004</v>
      </c>
      <c r="S59" s="433">
        <f t="shared" si="5"/>
        <v>522428916.52000004</v>
      </c>
      <c r="T59" s="433">
        <f t="shared" si="5"/>
        <v>522428916.52000004</v>
      </c>
      <c r="U59" s="433">
        <f t="shared" si="5"/>
        <v>523109284.52000004</v>
      </c>
      <c r="V59" s="433">
        <f t="shared" si="5"/>
        <v>523225164.12000006</v>
      </c>
      <c r="W59" s="433">
        <f t="shared" si="5"/>
        <v>523379937.12000006</v>
      </c>
      <c r="X59" s="433">
        <f t="shared" si="5"/>
        <v>524011977.77000004</v>
      </c>
      <c r="Y59" s="433">
        <f t="shared" si="5"/>
        <v>524028933.12000006</v>
      </c>
      <c r="Z59" s="433">
        <f t="shared" si="5"/>
        <v>524028933.12000006</v>
      </c>
      <c r="AA59" s="433">
        <f t="shared" si="5"/>
        <v>524028933.12000006</v>
      </c>
      <c r="AB59" s="433">
        <f t="shared" si="5"/>
        <v>524403715.39000005</v>
      </c>
      <c r="AC59" s="433">
        <f t="shared" si="5"/>
        <v>525559534.39000005</v>
      </c>
      <c r="AD59" s="433">
        <f t="shared" si="5"/>
        <v>525792704.39000005</v>
      </c>
      <c r="AE59" s="433">
        <f>AD59+AE57</f>
        <v>526284975.59000003</v>
      </c>
      <c r="AF59" s="433">
        <f t="shared" si="5"/>
        <v>525409967.68</v>
      </c>
      <c r="AG59" s="433">
        <f t="shared" si="5"/>
        <v>525409967.68</v>
      </c>
      <c r="AH59" s="433">
        <f t="shared" si="5"/>
        <v>525409967.68</v>
      </c>
      <c r="AI59" s="433">
        <f t="shared" si="5"/>
        <v>525777998.63</v>
      </c>
      <c r="AJ59" s="433">
        <f t="shared" si="5"/>
        <v>526373189.63</v>
      </c>
      <c r="AK59" s="433">
        <f t="shared" si="5"/>
        <v>532980048.17</v>
      </c>
      <c r="AL59" s="433"/>
      <c r="AM59" s="434"/>
      <c r="AN59" s="435"/>
      <c r="AO59" s="436"/>
      <c r="AP59" s="437"/>
      <c r="AS59" s="434" t="s">
        <v>131</v>
      </c>
    </row>
    <row r="60" spans="1:45" ht="21">
      <c r="A60" s="514" t="s">
        <v>140</v>
      </c>
      <c r="B60" s="515"/>
      <c r="C60" s="516"/>
      <c r="D60" s="281">
        <v>0</v>
      </c>
      <c r="E60" s="300"/>
      <c r="F60" s="290"/>
      <c r="G60" s="439"/>
      <c r="I60" s="374"/>
      <c r="J60" s="374"/>
      <c r="AS60" s="376" t="s">
        <v>132</v>
      </c>
    </row>
    <row r="61" spans="1:43" ht="21">
      <c r="A61" s="301"/>
      <c r="B61" s="282"/>
      <c r="C61" s="280" t="s">
        <v>138</v>
      </c>
      <c r="D61" s="283"/>
      <c r="E61" s="302">
        <f>D59+D60</f>
        <v>124586920.92999996</v>
      </c>
      <c r="F61" s="290"/>
      <c r="G61" s="439"/>
      <c r="AQ61" s="357">
        <f>D59+D63</f>
        <v>92098346.33999997</v>
      </c>
    </row>
    <row r="62" spans="1:38" ht="21.75" thickBot="1">
      <c r="A62" s="303"/>
      <c r="B62" s="282"/>
      <c r="C62" s="284"/>
      <c r="D62" s="285"/>
      <c r="E62" s="304"/>
      <c r="F62" s="290"/>
      <c r="G62" s="441"/>
      <c r="AL62" s="442"/>
    </row>
    <row r="63" spans="1:43" ht="21.75" thickBot="1">
      <c r="A63" s="517" t="s">
        <v>146</v>
      </c>
      <c r="B63" s="518"/>
      <c r="C63" s="519"/>
      <c r="D63" s="281">
        <f>AO18+AO21+AO24+AO25+AO26+AO36+AO37+AO38+AO40+AO43+AO44+AO46+AO47+AO50+AO51</f>
        <v>-32488574.58999999</v>
      </c>
      <c r="E63" s="304"/>
      <c r="F63" s="290" t="s">
        <v>144</v>
      </c>
      <c r="G63" s="441"/>
      <c r="AK63" s="443"/>
      <c r="AL63" s="444">
        <f>E61+D63</f>
        <v>92098346.33999997</v>
      </c>
      <c r="AM63" s="291"/>
      <c r="AQ63" s="357"/>
    </row>
    <row r="64" spans="1:43" ht="21">
      <c r="A64" s="301"/>
      <c r="B64" s="286"/>
      <c r="C64" s="287" t="s">
        <v>141</v>
      </c>
      <c r="D64" s="280"/>
      <c r="E64" s="305">
        <v>0</v>
      </c>
      <c r="F64" s="290"/>
      <c r="G64" s="441"/>
      <c r="AL64" s="445"/>
      <c r="AN64" s="468">
        <f>AL63-AO57</f>
        <v>0</v>
      </c>
      <c r="AO64" s="378" t="s">
        <v>80</v>
      </c>
      <c r="AQ64" s="357">
        <f>AQ63+AN63</f>
        <v>0</v>
      </c>
    </row>
    <row r="65" spans="1:6" ht="21">
      <c r="A65" s="303"/>
      <c r="B65" s="282"/>
      <c r="C65" s="288" t="s">
        <v>139</v>
      </c>
      <c r="D65" s="289"/>
      <c r="E65" s="306">
        <f>D63</f>
        <v>-32488574.58999999</v>
      </c>
      <c r="F65" s="291"/>
    </row>
    <row r="66" spans="1:6" ht="21.75" thickBot="1">
      <c r="A66" s="307"/>
      <c r="B66" s="308"/>
      <c r="C66" s="308"/>
      <c r="D66" s="309"/>
      <c r="E66" s="310"/>
      <c r="F66" s="291"/>
    </row>
    <row r="67" spans="1:5" ht="21">
      <c r="A67" s="446"/>
      <c r="B67" s="447"/>
      <c r="C67" s="447"/>
      <c r="D67" s="448"/>
      <c r="E67" s="449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  <row r="75" ht="21">
      <c r="D75" s="450"/>
    </row>
  </sheetData>
  <sheetProtection/>
  <mergeCells count="10">
    <mergeCell ref="G1:AK1"/>
    <mergeCell ref="A59:C59"/>
    <mergeCell ref="A60:C60"/>
    <mergeCell ref="A63:C63"/>
    <mergeCell ref="E1:E2"/>
    <mergeCell ref="F1:F2"/>
    <mergeCell ref="A1:A2"/>
    <mergeCell ref="B1:B2"/>
    <mergeCell ref="C1:C2"/>
    <mergeCell ref="D1:D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.5511811023622047" right="0.1968503937007874" top="0.5905511811023623" bottom="0.31496062992125984" header="0.3937007874015748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75"/>
  <sheetViews>
    <sheetView zoomScale="120" zoomScaleNormal="120" zoomScalePageLayoutView="0" workbookViewId="0" topLeftCell="D35">
      <selection activeCell="AN20" sqref="AN20"/>
    </sheetView>
  </sheetViews>
  <sheetFormatPr defaultColWidth="9.140625" defaultRowHeight="12.75"/>
  <cols>
    <col min="1" max="1" width="13.28125" style="369" bestFit="1" customWidth="1"/>
    <col min="2" max="2" width="14.57421875" style="370" customWidth="1"/>
    <col min="3" max="3" width="56.00390625" style="370" customWidth="1"/>
    <col min="4" max="4" width="17.00390625" style="371" bestFit="1" customWidth="1"/>
    <col min="5" max="5" width="15.8515625" style="380" customWidth="1"/>
    <col min="6" max="6" width="18.421875" style="376" hidden="1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4" width="15.7109375" style="373" hidden="1" customWidth="1"/>
    <col min="25" max="25" width="15.7109375" style="375" hidden="1" customWidth="1"/>
    <col min="26" max="37" width="15.7109375" style="373" hidden="1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241459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 hidden="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 hidden="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6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 hidden="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 hidden="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 hidden="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 hidden="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 hidden="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377"/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377">
        <v>126300</v>
      </c>
      <c r="AL18" s="345">
        <f t="shared" si="0"/>
        <v>126300</v>
      </c>
      <c r="AN18" s="377">
        <v>126300</v>
      </c>
      <c r="AO18" s="381">
        <f>AN18-AL18</f>
        <v>0</v>
      </c>
      <c r="AQ18" s="357">
        <f>AL18+AO18</f>
        <v>126300</v>
      </c>
    </row>
    <row r="19" spans="5:43" ht="21">
      <c r="E19" s="372"/>
      <c r="F19" s="377"/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280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347">
        <v>105822178.12</v>
      </c>
      <c r="G21" s="373">
        <f>-790805.38+162256.57</f>
        <v>-628548.81</v>
      </c>
      <c r="H21" s="373">
        <f>102802.52+18107</f>
        <v>120909.52</v>
      </c>
      <c r="K21" s="373">
        <f>343481</f>
        <v>343481</v>
      </c>
      <c r="L21" s="373">
        <f>290720.74</f>
        <v>290720.74</v>
      </c>
      <c r="M21" s="373">
        <f>-72+6972711.62+72351</f>
        <v>7044990.62</v>
      </c>
      <c r="N21" s="373">
        <f>212111.67+600</f>
        <v>212711.67</v>
      </c>
      <c r="O21" s="373">
        <v>179311.3</v>
      </c>
      <c r="R21" s="373">
        <v>438263.76</v>
      </c>
      <c r="S21" s="373">
        <f>17511076.59+266165+171829.02</f>
        <v>17949070.61</v>
      </c>
      <c r="T21" s="373">
        <f>254374+44465.23</f>
        <v>298839.23</v>
      </c>
      <c r="U21" s="373">
        <f>301195.67+67949</f>
        <v>369144.67</v>
      </c>
      <c r="X21" s="374"/>
      <c r="Y21" s="375">
        <f>512308+300-4500000</f>
        <v>-3987392</v>
      </c>
      <c r="Z21" s="373">
        <f>190449+20487</f>
        <v>210936</v>
      </c>
      <c r="AA21" s="373">
        <f>309005</f>
        <v>309005</v>
      </c>
      <c r="AB21" s="373">
        <f>153765.22+400</f>
        <v>154165.22</v>
      </c>
      <c r="AC21" s="373">
        <f>238477.48+20438.4</f>
        <v>258915.88</v>
      </c>
      <c r="AF21" s="373">
        <f>434168+111739</f>
        <v>545907</v>
      </c>
      <c r="AG21" s="375">
        <f>309606.24+5300</f>
        <v>314906.24</v>
      </c>
      <c r="AH21" s="373">
        <f>144821.19+13087.1</f>
        <v>157908.29</v>
      </c>
      <c r="AL21" s="345">
        <v>112894347.47</v>
      </c>
      <c r="AN21" s="451">
        <v>114306684.44</v>
      </c>
      <c r="AO21" s="381">
        <f>AN21-AL21</f>
        <v>1412336.9699999988</v>
      </c>
      <c r="AP21" s="369" t="s">
        <v>93</v>
      </c>
      <c r="AQ21" s="357">
        <f>AL21+AO21</f>
        <v>114306684.44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347">
        <v>637792.72</v>
      </c>
      <c r="AL22" s="345">
        <f t="shared" si="0"/>
        <v>637792.72</v>
      </c>
      <c r="AN22" s="451">
        <v>637792.72</v>
      </c>
      <c r="AO22" s="381">
        <f aca="true" t="shared" si="1" ref="AO22:AO56">AN22-AL22</f>
        <v>0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347">
        <v>8499.95</v>
      </c>
      <c r="AL23" s="345">
        <f t="shared" si="0"/>
        <v>8499.95</v>
      </c>
      <c r="AN23" s="451">
        <v>8499.95</v>
      </c>
      <c r="AO23" s="381">
        <f t="shared" si="1"/>
        <v>0</v>
      </c>
      <c r="AQ23" s="357">
        <f t="shared" si="2"/>
        <v>8499.95</v>
      </c>
      <c r="AR23" s="357">
        <f t="shared" si="3"/>
        <v>0</v>
      </c>
    </row>
    <row r="24" spans="1:44" s="470" customFormat="1" ht="21">
      <c r="A24" s="469">
        <v>1101030102</v>
      </c>
      <c r="B24" s="470" t="s">
        <v>15</v>
      </c>
      <c r="C24" s="471" t="s">
        <v>52</v>
      </c>
      <c r="D24" s="472">
        <v>9092199648</v>
      </c>
      <c r="E24" s="473" t="s">
        <v>8</v>
      </c>
      <c r="F24" s="489">
        <v>0</v>
      </c>
      <c r="G24" s="475"/>
      <c r="H24" s="476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4">
        <f t="shared" si="0"/>
        <v>0</v>
      </c>
      <c r="AM24" s="475"/>
      <c r="AN24" s="474">
        <v>0</v>
      </c>
      <c r="AO24" s="477">
        <f t="shared" si="1"/>
        <v>0</v>
      </c>
      <c r="AP24" s="469"/>
      <c r="AQ24" s="478">
        <f t="shared" si="2"/>
        <v>0</v>
      </c>
      <c r="AR24" s="478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347">
        <v>557749.32</v>
      </c>
      <c r="AL25" s="345">
        <f t="shared" si="0"/>
        <v>557749.32</v>
      </c>
      <c r="AN25" s="451">
        <v>539950.72</v>
      </c>
      <c r="AO25" s="381">
        <f t="shared" si="1"/>
        <v>-17798.599999999977</v>
      </c>
      <c r="AP25" s="369" t="s">
        <v>92</v>
      </c>
      <c r="AQ25" s="357">
        <f t="shared" si="2"/>
        <v>539950.72</v>
      </c>
      <c r="AR25" s="357">
        <f t="shared" si="3"/>
        <v>0</v>
      </c>
    </row>
    <row r="26" spans="1:44" s="470" customFormat="1" ht="21">
      <c r="A26" s="469">
        <v>1101030102</v>
      </c>
      <c r="B26" s="470" t="s">
        <v>2</v>
      </c>
      <c r="C26" s="471" t="s">
        <v>53</v>
      </c>
      <c r="D26" s="472">
        <v>9321151400</v>
      </c>
      <c r="E26" s="473" t="s">
        <v>17</v>
      </c>
      <c r="F26" s="489">
        <v>0</v>
      </c>
      <c r="G26" s="475"/>
      <c r="H26" s="476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4">
        <f t="shared" si="0"/>
        <v>0</v>
      </c>
      <c r="AM26" s="475"/>
      <c r="AN26" s="474">
        <v>0</v>
      </c>
      <c r="AO26" s="477">
        <f t="shared" si="1"/>
        <v>0</v>
      </c>
      <c r="AP26" s="469"/>
      <c r="AQ26" s="478">
        <f t="shared" si="2"/>
        <v>0</v>
      </c>
      <c r="AR26" s="478">
        <f t="shared" si="3"/>
        <v>0</v>
      </c>
    </row>
    <row r="27" spans="1:44" s="470" customFormat="1" ht="21">
      <c r="A27" s="469">
        <v>1101030102</v>
      </c>
      <c r="B27" s="470" t="s">
        <v>2</v>
      </c>
      <c r="C27" s="471" t="s">
        <v>54</v>
      </c>
      <c r="D27" s="472">
        <v>9321484736</v>
      </c>
      <c r="E27" s="473" t="s">
        <v>19</v>
      </c>
      <c r="F27" s="489"/>
      <c r="G27" s="475"/>
      <c r="H27" s="476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4">
        <f t="shared" si="0"/>
        <v>0</v>
      </c>
      <c r="AM27" s="475"/>
      <c r="AN27" s="474"/>
      <c r="AO27" s="477">
        <f t="shared" si="1"/>
        <v>0</v>
      </c>
      <c r="AP27" s="469"/>
      <c r="AQ27" s="478">
        <f t="shared" si="2"/>
        <v>0</v>
      </c>
      <c r="AR27" s="478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347">
        <v>41996.78</v>
      </c>
      <c r="AL28" s="345">
        <f t="shared" si="0"/>
        <v>41996.78</v>
      </c>
      <c r="AN28" s="451">
        <v>41996.78</v>
      </c>
      <c r="AO28" s="381">
        <f t="shared" si="1"/>
        <v>0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347">
        <v>3921.26</v>
      </c>
      <c r="AL29" s="345">
        <f t="shared" si="0"/>
        <v>3921.26</v>
      </c>
      <c r="AN29" s="451">
        <v>3921.26</v>
      </c>
      <c r="AO29" s="381">
        <f t="shared" si="1"/>
        <v>0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347">
        <v>4395.38</v>
      </c>
      <c r="AL30" s="345">
        <f t="shared" si="0"/>
        <v>4395.38</v>
      </c>
      <c r="AN30" s="451">
        <v>4395.38</v>
      </c>
      <c r="AO30" s="381">
        <f t="shared" si="1"/>
        <v>0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347">
        <v>101262.75</v>
      </c>
      <c r="AL31" s="345">
        <f t="shared" si="0"/>
        <v>101262.75</v>
      </c>
      <c r="AN31" s="451">
        <v>101262.75</v>
      </c>
      <c r="AO31" s="381">
        <f t="shared" si="1"/>
        <v>0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347">
        <v>0</v>
      </c>
      <c r="G32" s="397"/>
      <c r="H32" s="398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347">
        <v>7182235.18</v>
      </c>
      <c r="AL33" s="345">
        <f t="shared" si="0"/>
        <v>7182235.18</v>
      </c>
      <c r="AN33" s="451">
        <v>7912501.26</v>
      </c>
      <c r="AO33" s="381">
        <f t="shared" si="1"/>
        <v>730266.0800000001</v>
      </c>
      <c r="AP33" s="369" t="s">
        <v>93</v>
      </c>
      <c r="AQ33" s="357">
        <f t="shared" si="2"/>
        <v>7912501.26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347"/>
      <c r="G34" s="397"/>
      <c r="H34" s="398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367">
        <v>275007543.9</v>
      </c>
      <c r="H35" s="373"/>
      <c r="M35" s="373">
        <v>171087.04</v>
      </c>
      <c r="S35" s="373">
        <f>-17511076.59</f>
        <v>-17511076.59</v>
      </c>
      <c r="AL35" s="345">
        <v>275178630.94</v>
      </c>
      <c r="AN35" s="452">
        <v>272015218.07</v>
      </c>
      <c r="AO35" s="405">
        <f t="shared" si="1"/>
        <v>-3163412.870000005</v>
      </c>
      <c r="AP35" s="369" t="s">
        <v>92</v>
      </c>
      <c r="AQ35" s="357">
        <f t="shared" si="2"/>
        <v>272015218.07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347">
        <v>13576665.53</v>
      </c>
      <c r="U36" s="373">
        <v>123100</v>
      </c>
      <c r="AF36" s="373">
        <v>23760</v>
      </c>
      <c r="AL36" s="345">
        <f t="shared" si="0"/>
        <v>13723525.53</v>
      </c>
      <c r="AN36" s="451">
        <v>13224671.64</v>
      </c>
      <c r="AO36" s="381">
        <f t="shared" si="1"/>
        <v>-498853.88999999873</v>
      </c>
      <c r="AP36" s="369" t="s">
        <v>92</v>
      </c>
      <c r="AQ36" s="357">
        <f t="shared" si="2"/>
        <v>13224671.64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347">
        <v>45722282.09</v>
      </c>
      <c r="AL37" s="345">
        <f t="shared" si="0"/>
        <v>45722282.09</v>
      </c>
      <c r="AN37" s="451">
        <v>45082395.29</v>
      </c>
      <c r="AO37" s="381">
        <f t="shared" si="1"/>
        <v>-639886.8000000045</v>
      </c>
      <c r="AP37" s="369" t="s">
        <v>92</v>
      </c>
      <c r="AQ37" s="357">
        <f t="shared" si="2"/>
        <v>45082395.29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347">
        <v>12129643</v>
      </c>
      <c r="AL38" s="345">
        <f t="shared" si="0"/>
        <v>12129643</v>
      </c>
      <c r="AN38" s="451">
        <v>12019643</v>
      </c>
      <c r="AO38" s="381">
        <f t="shared" si="1"/>
        <v>-110000</v>
      </c>
      <c r="AP38" s="369" t="s">
        <v>92</v>
      </c>
      <c r="AQ38" s="357">
        <f t="shared" si="2"/>
        <v>12019643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347">
        <v>10914280.85</v>
      </c>
      <c r="AL39" s="345">
        <f t="shared" si="0"/>
        <v>10914280.85</v>
      </c>
      <c r="AN39" s="451">
        <v>10914280.85</v>
      </c>
      <c r="AO39" s="381">
        <f t="shared" si="1"/>
        <v>0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347">
        <v>4721322.77</v>
      </c>
      <c r="H40" s="374">
        <f>2565</f>
        <v>2565</v>
      </c>
      <c r="L40" s="373">
        <f>5500</f>
        <v>5500</v>
      </c>
      <c r="M40" s="373">
        <f>10083+7500</f>
        <v>17583</v>
      </c>
      <c r="N40" s="373">
        <v>9200</v>
      </c>
      <c r="O40" s="373">
        <v>25000</v>
      </c>
      <c r="R40" s="373">
        <v>23730</v>
      </c>
      <c r="S40" s="373">
        <f>49730</f>
        <v>49730</v>
      </c>
      <c r="T40" s="373">
        <v>33565</v>
      </c>
      <c r="U40" s="373">
        <v>77200</v>
      </c>
      <c r="Y40" s="375">
        <v>46900</v>
      </c>
      <c r="Z40" s="373">
        <f>44700</f>
        <v>44700</v>
      </c>
      <c r="AA40" s="373">
        <v>67900</v>
      </c>
      <c r="AB40" s="373">
        <v>71430</v>
      </c>
      <c r="AC40" s="373">
        <v>115900</v>
      </c>
      <c r="AF40" s="373">
        <v>71330</v>
      </c>
      <c r="AG40" s="373">
        <v>53600</v>
      </c>
      <c r="AH40" s="373">
        <v>15900</v>
      </c>
      <c r="AL40" s="345">
        <f t="shared" si="0"/>
        <v>5453055.77</v>
      </c>
      <c r="AN40" s="451">
        <v>5448808.97</v>
      </c>
      <c r="AO40" s="381">
        <f t="shared" si="1"/>
        <v>-4246.799999999814</v>
      </c>
      <c r="AP40" s="369" t="s">
        <v>92</v>
      </c>
      <c r="AQ40" s="357">
        <f t="shared" si="2"/>
        <v>5448808.97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347">
        <v>572223.25</v>
      </c>
      <c r="AL41" s="345">
        <f t="shared" si="0"/>
        <v>572223.25</v>
      </c>
      <c r="AN41" s="451">
        <v>572223.25</v>
      </c>
      <c r="AO41" s="381">
        <f t="shared" si="1"/>
        <v>0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347"/>
      <c r="AL42" s="345">
        <f t="shared" si="0"/>
        <v>0</v>
      </c>
      <c r="AN42" s="451"/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347">
        <v>1786418.74</v>
      </c>
      <c r="AL43" s="345">
        <f t="shared" si="0"/>
        <v>1786418.74</v>
      </c>
      <c r="AN43" s="451">
        <v>1786418.74</v>
      </c>
      <c r="AO43" s="381">
        <f t="shared" si="1"/>
        <v>0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347">
        <v>26388.71</v>
      </c>
      <c r="AL44" s="345">
        <f t="shared" si="0"/>
        <v>26388.71</v>
      </c>
      <c r="AN44" s="451">
        <v>26388.71</v>
      </c>
      <c r="AO44" s="381">
        <f t="shared" si="1"/>
        <v>0</v>
      </c>
      <c r="AQ44" s="357">
        <f t="shared" si="2"/>
        <v>26388.71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347">
        <v>369076.97</v>
      </c>
      <c r="AL45" s="345">
        <f t="shared" si="0"/>
        <v>369076.97</v>
      </c>
      <c r="AN45" s="451">
        <v>369076.97</v>
      </c>
      <c r="AO45" s="381">
        <f t="shared" si="1"/>
        <v>0</v>
      </c>
      <c r="AQ45" s="357">
        <f t="shared" si="2"/>
        <v>369076.97</v>
      </c>
      <c r="AR45" s="357">
        <f t="shared" si="3"/>
        <v>0</v>
      </c>
    </row>
    <row r="46" spans="1:44" s="470" customFormat="1" ht="21">
      <c r="A46" s="469">
        <v>1101030102</v>
      </c>
      <c r="B46" s="470" t="s">
        <v>13</v>
      </c>
      <c r="C46" s="471" t="s">
        <v>68</v>
      </c>
      <c r="D46" s="472">
        <v>5081084530</v>
      </c>
      <c r="E46" s="473" t="s">
        <v>84</v>
      </c>
      <c r="F46" s="489">
        <v>0</v>
      </c>
      <c r="G46" s="475"/>
      <c r="H46" s="476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4">
        <f t="shared" si="0"/>
        <v>0</v>
      </c>
      <c r="AM46" s="475"/>
      <c r="AN46" s="474">
        <v>0</v>
      </c>
      <c r="AO46" s="477">
        <f t="shared" si="1"/>
        <v>0</v>
      </c>
      <c r="AP46" s="469"/>
      <c r="AQ46" s="478">
        <f t="shared" si="2"/>
        <v>0</v>
      </c>
      <c r="AR46" s="478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347">
        <v>37499358.63</v>
      </c>
      <c r="AL47" s="345">
        <f t="shared" si="0"/>
        <v>37499358.63</v>
      </c>
      <c r="AN47" s="451">
        <v>29465984.81</v>
      </c>
      <c r="AO47" s="381">
        <f t="shared" si="1"/>
        <v>-8033373.820000004</v>
      </c>
      <c r="AP47" s="369" t="s">
        <v>92</v>
      </c>
      <c r="AQ47" s="357">
        <f t="shared" si="2"/>
        <v>29465984.81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347">
        <v>84922.26</v>
      </c>
      <c r="AL48" s="345">
        <f t="shared" si="0"/>
        <v>84922.26</v>
      </c>
      <c r="AN48" s="451">
        <v>84922.26</v>
      </c>
      <c r="AO48" s="381">
        <f t="shared" si="1"/>
        <v>0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347">
        <v>7313143.88</v>
      </c>
      <c r="AL49" s="345">
        <f t="shared" si="0"/>
        <v>7313143.88</v>
      </c>
      <c r="AN49" s="451">
        <v>7313143.88</v>
      </c>
      <c r="AO49" s="381">
        <f t="shared" si="1"/>
        <v>0</v>
      </c>
      <c r="AQ49" s="357">
        <f t="shared" si="2"/>
        <v>7313143.88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347">
        <v>14490082.07</v>
      </c>
      <c r="G50" s="373">
        <f>-1634579.44+2100</f>
        <v>-1632479.44</v>
      </c>
      <c r="H50" s="374">
        <f>5000</f>
        <v>5000</v>
      </c>
      <c r="N50" s="373">
        <v>10000</v>
      </c>
      <c r="U50" s="373">
        <f>10000</f>
        <v>10000</v>
      </c>
      <c r="AA50" s="373">
        <v>61500</v>
      </c>
      <c r="AB50" s="373">
        <v>900</v>
      </c>
      <c r="AF50" s="373">
        <v>52800</v>
      </c>
      <c r="AG50" s="373">
        <f>500000+2500</f>
        <v>502500</v>
      </c>
      <c r="AL50" s="345">
        <f t="shared" si="0"/>
        <v>13500302.63</v>
      </c>
      <c r="AN50" s="451">
        <v>13485546.09</v>
      </c>
      <c r="AO50" s="381">
        <f t="shared" si="1"/>
        <v>-14756.540000000969</v>
      </c>
      <c r="AP50" s="369" t="s">
        <v>92</v>
      </c>
      <c r="AQ50" s="357">
        <f t="shared" si="2"/>
        <v>13485546.09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347">
        <v>43646905.7</v>
      </c>
      <c r="AL51" s="345">
        <f t="shared" si="0"/>
        <v>43646905.7</v>
      </c>
      <c r="AN51" s="451">
        <v>43646905.7</v>
      </c>
      <c r="AO51" s="381">
        <f t="shared" si="1"/>
        <v>0</v>
      </c>
      <c r="AQ51" s="357">
        <f t="shared" si="2"/>
        <v>43646905.7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347">
        <v>7272.31</v>
      </c>
      <c r="AL52" s="345">
        <f t="shared" si="0"/>
        <v>7272.31</v>
      </c>
      <c r="AN52" s="451">
        <v>7272.31</v>
      </c>
      <c r="AO52" s="381">
        <f t="shared" si="1"/>
        <v>0</v>
      </c>
      <c r="AQ52" s="357">
        <f t="shared" si="2"/>
        <v>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347">
        <v>1941424.22</v>
      </c>
      <c r="AL53" s="345">
        <f t="shared" si="0"/>
        <v>1941424.22</v>
      </c>
      <c r="AN53" s="451">
        <v>1983465.31</v>
      </c>
      <c r="AO53" s="381">
        <f t="shared" si="1"/>
        <v>42041.090000000084</v>
      </c>
      <c r="AP53" s="369" t="s">
        <v>93</v>
      </c>
      <c r="AQ53" s="357">
        <f t="shared" si="2"/>
        <v>1983465.31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347">
        <v>249463.31</v>
      </c>
      <c r="G54" s="462"/>
      <c r="H54" s="463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 t="s">
        <v>98</v>
      </c>
      <c r="AC54" s="462"/>
      <c r="AD54" s="462"/>
      <c r="AE54" s="462"/>
      <c r="AF54" s="462"/>
      <c r="AG54" s="462"/>
      <c r="AH54" s="462"/>
      <c r="AI54" s="462"/>
      <c r="AJ54" s="462"/>
      <c r="AK54" s="462"/>
      <c r="AL54" s="345">
        <f t="shared" si="0"/>
        <v>249463.31</v>
      </c>
      <c r="AM54" s="464"/>
      <c r="AN54" s="465">
        <v>249463.31</v>
      </c>
      <c r="AO54" s="381">
        <f t="shared" si="1"/>
        <v>0</v>
      </c>
      <c r="AP54" s="456"/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347">
        <v>30000000</v>
      </c>
      <c r="AL55" s="345">
        <f t="shared" si="0"/>
        <v>30000000</v>
      </c>
      <c r="AN55" s="451"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90">
        <v>10533644.86</v>
      </c>
      <c r="AL56" s="345">
        <f t="shared" si="0"/>
        <v>10533644.86</v>
      </c>
      <c r="AM56" s="412"/>
      <c r="AN56" s="453">
        <v>10533644.86</v>
      </c>
      <c r="AO56" s="415">
        <f t="shared" si="1"/>
        <v>0</v>
      </c>
      <c r="AP56" s="416"/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625078394.51</v>
      </c>
      <c r="G57" s="374">
        <f aca="true" t="shared" si="4" ref="G57:AL57">SUM(G3:G56)</f>
        <v>-2261028.25</v>
      </c>
      <c r="H57" s="421">
        <f t="shared" si="4"/>
        <v>128474.52</v>
      </c>
      <c r="I57" s="421">
        <f t="shared" si="4"/>
        <v>0</v>
      </c>
      <c r="J57" s="421">
        <f t="shared" si="4"/>
        <v>0</v>
      </c>
      <c r="K57" s="421">
        <f t="shared" si="4"/>
        <v>343481</v>
      </c>
      <c r="L57" s="421">
        <f t="shared" si="4"/>
        <v>296220.74</v>
      </c>
      <c r="M57" s="421">
        <f t="shared" si="4"/>
        <v>7233660.66</v>
      </c>
      <c r="N57" s="421">
        <f t="shared" si="4"/>
        <v>231911.67</v>
      </c>
      <c r="O57" s="421">
        <f t="shared" si="4"/>
        <v>204311.3</v>
      </c>
      <c r="P57" s="421">
        <f t="shared" si="4"/>
        <v>0</v>
      </c>
      <c r="Q57" s="421">
        <f t="shared" si="4"/>
        <v>0</v>
      </c>
      <c r="R57" s="421">
        <f t="shared" si="4"/>
        <v>461993.76</v>
      </c>
      <c r="S57" s="421">
        <f t="shared" si="4"/>
        <v>487724.01999999955</v>
      </c>
      <c r="T57" s="421">
        <f t="shared" si="4"/>
        <v>332404.23</v>
      </c>
      <c r="U57" s="421">
        <f t="shared" si="4"/>
        <v>579444.6699999999</v>
      </c>
      <c r="V57" s="421">
        <f t="shared" si="4"/>
        <v>0</v>
      </c>
      <c r="W57" s="421">
        <f t="shared" si="4"/>
        <v>0</v>
      </c>
      <c r="X57" s="421">
        <f t="shared" si="4"/>
        <v>0</v>
      </c>
      <c r="Y57" s="422">
        <f t="shared" si="4"/>
        <v>-3940492</v>
      </c>
      <c r="Z57" s="421">
        <f t="shared" si="4"/>
        <v>255636</v>
      </c>
      <c r="AA57" s="421">
        <f t="shared" si="4"/>
        <v>438405</v>
      </c>
      <c r="AB57" s="421">
        <f t="shared" si="4"/>
        <v>226495.22</v>
      </c>
      <c r="AC57" s="421">
        <f t="shared" si="4"/>
        <v>374815.88</v>
      </c>
      <c r="AD57" s="421">
        <f t="shared" si="4"/>
        <v>0</v>
      </c>
      <c r="AE57" s="421">
        <f t="shared" si="4"/>
        <v>0</v>
      </c>
      <c r="AF57" s="421">
        <f t="shared" si="4"/>
        <v>693797</v>
      </c>
      <c r="AG57" s="421">
        <f t="shared" si="4"/>
        <v>871006.24</v>
      </c>
      <c r="AH57" s="421">
        <f t="shared" si="4"/>
        <v>173808.29</v>
      </c>
      <c r="AI57" s="421">
        <f t="shared" si="4"/>
        <v>0</v>
      </c>
      <c r="AJ57" s="421">
        <f t="shared" si="4"/>
        <v>0</v>
      </c>
      <c r="AK57" s="421">
        <f t="shared" si="4"/>
        <v>0</v>
      </c>
      <c r="AL57" s="423">
        <f t="shared" si="4"/>
        <v>632210464.46</v>
      </c>
      <c r="AM57" s="424"/>
      <c r="AN57" s="425">
        <f>SUM(AN3:AN56)</f>
        <v>621912779.2799999</v>
      </c>
      <c r="AO57" s="425">
        <f>SUM(AO3:AO56)</f>
        <v>-10297685.180000015</v>
      </c>
      <c r="AP57" s="427"/>
      <c r="AQ57" s="428">
        <f t="shared" si="2"/>
        <v>621912779.28</v>
      </c>
      <c r="AR57" s="357">
        <f t="shared" si="3"/>
        <v>0</v>
      </c>
    </row>
    <row r="58" spans="1:44" ht="21.75" thickBot="1">
      <c r="A58" s="479"/>
      <c r="B58" s="480"/>
      <c r="C58" s="481"/>
      <c r="D58" s="482"/>
      <c r="E58" s="483"/>
      <c r="F58" s="484"/>
      <c r="G58" s="374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2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85"/>
      <c r="AM58" s="486"/>
      <c r="AN58" s="487"/>
      <c r="AO58" s="487"/>
      <c r="AP58" s="488"/>
      <c r="AQ58" s="428"/>
      <c r="AR58" s="357"/>
    </row>
    <row r="59" spans="1:45" s="438" customFormat="1" ht="21">
      <c r="A59" s="511" t="s">
        <v>145</v>
      </c>
      <c r="B59" s="512"/>
      <c r="C59" s="513"/>
      <c r="D59" s="429">
        <f>AO21+AO33+AO53</f>
        <v>2184644.1399999987</v>
      </c>
      <c r="E59" s="430"/>
      <c r="F59" s="431"/>
      <c r="G59" s="432">
        <f>F57+G57</f>
        <v>622817366.26</v>
      </c>
      <c r="H59" s="433">
        <f aca="true" t="shared" si="5" ref="H59:AK59">G59+H57</f>
        <v>622945840.78</v>
      </c>
      <c r="I59" s="433">
        <f t="shared" si="5"/>
        <v>622945840.78</v>
      </c>
      <c r="J59" s="433">
        <f t="shared" si="5"/>
        <v>622945840.78</v>
      </c>
      <c r="K59" s="433">
        <f t="shared" si="5"/>
        <v>623289321.78</v>
      </c>
      <c r="L59" s="433">
        <f t="shared" si="5"/>
        <v>623585542.52</v>
      </c>
      <c r="M59" s="433">
        <f t="shared" si="5"/>
        <v>630819203.18</v>
      </c>
      <c r="N59" s="433">
        <f t="shared" si="5"/>
        <v>631051114.8499999</v>
      </c>
      <c r="O59" s="433">
        <f t="shared" si="5"/>
        <v>631255426.1499999</v>
      </c>
      <c r="P59" s="433">
        <f t="shared" si="5"/>
        <v>631255426.1499999</v>
      </c>
      <c r="Q59" s="433">
        <f t="shared" si="5"/>
        <v>631255426.1499999</v>
      </c>
      <c r="R59" s="433">
        <f t="shared" si="5"/>
        <v>631717419.9099998</v>
      </c>
      <c r="S59" s="433">
        <f t="shared" si="5"/>
        <v>632205143.9299998</v>
      </c>
      <c r="T59" s="433">
        <f t="shared" si="5"/>
        <v>632537548.1599998</v>
      </c>
      <c r="U59" s="433">
        <f t="shared" si="5"/>
        <v>633116992.8299998</v>
      </c>
      <c r="V59" s="433">
        <f t="shared" si="5"/>
        <v>633116992.8299998</v>
      </c>
      <c r="W59" s="433">
        <f t="shared" si="5"/>
        <v>633116992.8299998</v>
      </c>
      <c r="X59" s="433">
        <f t="shared" si="5"/>
        <v>633116992.8299998</v>
      </c>
      <c r="Y59" s="433">
        <f t="shared" si="5"/>
        <v>629176500.8299998</v>
      </c>
      <c r="Z59" s="433">
        <f t="shared" si="5"/>
        <v>629432136.8299998</v>
      </c>
      <c r="AA59" s="433">
        <f t="shared" si="5"/>
        <v>629870541.8299998</v>
      </c>
      <c r="AB59" s="433">
        <f t="shared" si="5"/>
        <v>630097037.0499998</v>
      </c>
      <c r="AC59" s="433">
        <f t="shared" si="5"/>
        <v>630471852.9299998</v>
      </c>
      <c r="AD59" s="433">
        <f t="shared" si="5"/>
        <v>630471852.9299998</v>
      </c>
      <c r="AE59" s="433">
        <f>AD59+AE57</f>
        <v>630471852.9299998</v>
      </c>
      <c r="AF59" s="433">
        <f t="shared" si="5"/>
        <v>631165649.9299998</v>
      </c>
      <c r="AG59" s="433">
        <f t="shared" si="5"/>
        <v>632036656.1699998</v>
      </c>
      <c r="AH59" s="433">
        <f t="shared" si="5"/>
        <v>632210464.4599998</v>
      </c>
      <c r="AI59" s="433">
        <f t="shared" si="5"/>
        <v>632210464.4599998</v>
      </c>
      <c r="AJ59" s="433">
        <f t="shared" si="5"/>
        <v>632210464.4599998</v>
      </c>
      <c r="AK59" s="433">
        <f t="shared" si="5"/>
        <v>632210464.4599998</v>
      </c>
      <c r="AL59" s="433"/>
      <c r="AM59" s="434"/>
      <c r="AN59" s="435"/>
      <c r="AO59" s="436"/>
      <c r="AP59" s="437"/>
      <c r="AS59" s="434" t="s">
        <v>131</v>
      </c>
    </row>
    <row r="60" spans="1:45" ht="21">
      <c r="A60" s="514" t="s">
        <v>140</v>
      </c>
      <c r="B60" s="515"/>
      <c r="C60" s="516"/>
      <c r="D60" s="281">
        <v>0</v>
      </c>
      <c r="E60" s="300"/>
      <c r="F60" s="290"/>
      <c r="G60" s="439"/>
      <c r="I60" s="374"/>
      <c r="J60" s="374"/>
      <c r="AS60" s="376" t="s">
        <v>132</v>
      </c>
    </row>
    <row r="61" spans="1:43" ht="21">
      <c r="A61" s="301"/>
      <c r="B61" s="282"/>
      <c r="C61" s="280" t="s">
        <v>138</v>
      </c>
      <c r="D61" s="283"/>
      <c r="E61" s="302">
        <f>D59+D60</f>
        <v>2184644.1399999987</v>
      </c>
      <c r="F61" s="290"/>
      <c r="G61" s="439"/>
      <c r="AQ61" s="357">
        <f>D59+D63</f>
        <v>-10297685.180000015</v>
      </c>
    </row>
    <row r="62" spans="1:38" ht="21.75" thickBot="1">
      <c r="A62" s="303"/>
      <c r="B62" s="282"/>
      <c r="C62" s="284"/>
      <c r="D62" s="285"/>
      <c r="E62" s="304"/>
      <c r="F62" s="290"/>
      <c r="G62" s="441"/>
      <c r="AL62" s="442"/>
    </row>
    <row r="63" spans="1:43" ht="21.75" thickBot="1">
      <c r="A63" s="517" t="s">
        <v>146</v>
      </c>
      <c r="B63" s="518"/>
      <c r="C63" s="519"/>
      <c r="D63" s="281">
        <f>E65+E64</f>
        <v>-12482329.320000013</v>
      </c>
      <c r="E63" s="304"/>
      <c r="F63" s="290" t="s">
        <v>144</v>
      </c>
      <c r="G63" s="441"/>
      <c r="AK63" s="443"/>
      <c r="AL63" s="444">
        <f>E61+D63</f>
        <v>-10297685.180000015</v>
      </c>
      <c r="AM63" s="291"/>
      <c r="AQ63" s="357"/>
    </row>
    <row r="64" spans="1:43" ht="21">
      <c r="A64" s="301"/>
      <c r="B64" s="286"/>
      <c r="C64" s="287" t="s">
        <v>141</v>
      </c>
      <c r="D64" s="280"/>
      <c r="E64" s="305">
        <v>0</v>
      </c>
      <c r="F64" s="290"/>
      <c r="G64" s="441"/>
      <c r="AL64" s="445"/>
      <c r="AN64" s="468">
        <f>AL63-AO57</f>
        <v>0</v>
      </c>
      <c r="AO64" s="378" t="s">
        <v>80</v>
      </c>
      <c r="AQ64" s="357">
        <f>AQ63+AN63</f>
        <v>0</v>
      </c>
    </row>
    <row r="65" spans="1:6" ht="21">
      <c r="A65" s="303"/>
      <c r="B65" s="282"/>
      <c r="C65" s="288" t="s">
        <v>139</v>
      </c>
      <c r="D65" s="289"/>
      <c r="E65" s="306">
        <f>AO25+AO35+AO36+AO37+AO38+AO40+AO47+AO50</f>
        <v>-12482329.320000013</v>
      </c>
      <c r="F65" s="291"/>
    </row>
    <row r="66" spans="1:6" ht="21.75" thickBot="1">
      <c r="A66" s="307"/>
      <c r="B66" s="308"/>
      <c r="C66" s="308"/>
      <c r="D66" s="309"/>
      <c r="E66" s="310"/>
      <c r="F66" s="291"/>
    </row>
    <row r="67" spans="1:5" ht="21">
      <c r="A67" s="446"/>
      <c r="B67" s="447"/>
      <c r="C67" s="447"/>
      <c r="D67" s="448"/>
      <c r="E67" s="449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  <row r="75" ht="21">
      <c r="D75" s="450"/>
    </row>
  </sheetData>
  <sheetProtection/>
  <mergeCells count="10">
    <mergeCell ref="A60:C60"/>
    <mergeCell ref="A63:C63"/>
    <mergeCell ref="D1:D2"/>
    <mergeCell ref="E1:E2"/>
    <mergeCell ref="F1:F2"/>
    <mergeCell ref="G1:AK1"/>
    <mergeCell ref="A59:C59"/>
    <mergeCell ref="A1:A2"/>
    <mergeCell ref="B1:B2"/>
    <mergeCell ref="C1:C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.11811023622047245" right="0.15748031496062992" top="0.4724409448818898" bottom="0.5511811023622047" header="0.2362204724409449" footer="0.2755905511811024"/>
  <pageSetup horizontalDpi="600" verticalDpi="600" orientation="landscape" paperSize="9" scale="85" r:id="rId3"/>
  <headerFooter alignWithMargins="0">
    <oddHeader>&amp;Cหน้าที่ &amp;P จาก &amp;N</oddHeader>
    <oddFooter>&amp;Lการปรับปรุง GFMiS บช01.&amp;Cวันที่ &amp;D&amp;Rเวลา 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369" bestFit="1" customWidth="1"/>
    <col min="2" max="2" width="14.57421875" style="370" customWidth="1"/>
    <col min="3" max="3" width="51.8515625" style="370" customWidth="1"/>
    <col min="4" max="4" width="17.00390625" style="371" bestFit="1" customWidth="1"/>
    <col min="5" max="5" width="15.8515625" style="380" customWidth="1"/>
    <col min="6" max="6" width="18.421875" style="376" hidden="1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3" width="15.7109375" style="373" hidden="1" customWidth="1"/>
    <col min="24" max="24" width="12.00390625" style="373" hidden="1" customWidth="1"/>
    <col min="25" max="25" width="15.7109375" style="375" hidden="1" customWidth="1"/>
    <col min="26" max="37" width="15.7109375" style="373" hidden="1" customWidth="1"/>
    <col min="38" max="38" width="16.28125" style="440" hidden="1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241487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 hidden="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 hidden="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6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 hidden="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 hidden="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 hidden="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 hidden="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 hidden="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377"/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377">
        <v>126300</v>
      </c>
      <c r="AL18" s="345">
        <f t="shared" si="0"/>
        <v>126300</v>
      </c>
      <c r="AN18" s="377">
        <v>126300</v>
      </c>
      <c r="AO18" s="381">
        <f>AN18-AL18</f>
        <v>0</v>
      </c>
      <c r="AQ18" s="357">
        <f>AL18+AO18</f>
        <v>126300</v>
      </c>
    </row>
    <row r="19" spans="5:43" ht="21">
      <c r="E19" s="372"/>
      <c r="F19" s="377"/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280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451">
        <v>114306684.44</v>
      </c>
      <c r="H21" s="373">
        <f>108009+4250+369523</f>
        <v>481782</v>
      </c>
      <c r="K21" s="373">
        <f>36171+362680+53450</f>
        <v>452301</v>
      </c>
      <c r="L21" s="373">
        <f>213070.64+5570</f>
        <v>218640.64</v>
      </c>
      <c r="M21" s="373">
        <f>194149.49+40210</f>
        <v>234359.49</v>
      </c>
      <c r="N21" s="373">
        <f>385775.8</f>
        <v>385775.8</v>
      </c>
      <c r="O21" s="373">
        <f>167978.9</f>
        <v>167978.9</v>
      </c>
      <c r="R21" s="373">
        <f>328842.71+85949</f>
        <v>414791.71</v>
      </c>
      <c r="S21" s="373">
        <f>180555.06+3293.1</f>
        <v>183848.16</v>
      </c>
      <c r="T21" s="373">
        <f>-317430.69-264240.23+455317+262104.98</f>
        <v>135751.06000000008</v>
      </c>
      <c r="U21" s="373">
        <v>146982.79</v>
      </c>
      <c r="V21" s="373">
        <f>-44975.7-31108.41+63724</f>
        <v>-12360.11</v>
      </c>
      <c r="X21" s="374"/>
      <c r="Y21" s="375">
        <f>(194342+16636+92995+49450)-(47385.47+254063.43+6)+(352376+322299)</f>
        <v>726643.1</v>
      </c>
      <c r="Z21" s="373">
        <f>227206-20000000</f>
        <v>-19772794</v>
      </c>
      <c r="AA21" s="373">
        <f>104721-(396247.22+91595.89)+205119+75410</f>
        <v>-102593.10999999999</v>
      </c>
      <c r="AB21" s="373">
        <f>307403-(773193.66+2252558.32)</f>
        <v>-2718348.98</v>
      </c>
      <c r="AC21" s="373">
        <f>-3035412.7-949737.27+205174.03</f>
        <v>-3779975.9400000004</v>
      </c>
      <c r="AF21" s="373">
        <f>2300000+325460</f>
        <v>2625460</v>
      </c>
      <c r="AG21" s="375">
        <f>29000+392781+372064.3</f>
        <v>793845.3</v>
      </c>
      <c r="AH21" s="373">
        <v>167460.83</v>
      </c>
      <c r="AI21" s="373">
        <v>294323.09</v>
      </c>
      <c r="AJ21" s="373">
        <f>151456+3076.36+4967</f>
        <v>159499.36</v>
      </c>
      <c r="AL21" s="345">
        <f t="shared" si="0"/>
        <v>95510055.53</v>
      </c>
      <c r="AN21" s="451">
        <v>96979048.79</v>
      </c>
      <c r="AO21" s="381">
        <f>AN21-AL21</f>
        <v>1468993.2600000054</v>
      </c>
      <c r="AP21" s="369" t="s">
        <v>93</v>
      </c>
      <c r="AQ21" s="357">
        <f>AL21+AO21</f>
        <v>96979048.79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451">
        <v>637792.72</v>
      </c>
      <c r="H22" s="373"/>
      <c r="AL22" s="345">
        <f t="shared" si="0"/>
        <v>637792.72</v>
      </c>
      <c r="AN22" s="451">
        <v>637792.72</v>
      </c>
      <c r="AO22" s="381">
        <f aca="true" t="shared" si="1" ref="AO22:AO56">AN22-AL22</f>
        <v>0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451">
        <v>8499.95</v>
      </c>
      <c r="H23" s="373"/>
      <c r="AL23" s="345">
        <f t="shared" si="0"/>
        <v>8499.95</v>
      </c>
      <c r="AN23" s="451">
        <v>22613.95</v>
      </c>
      <c r="AO23" s="381">
        <f t="shared" si="1"/>
        <v>14114</v>
      </c>
      <c r="AP23" s="369" t="s">
        <v>93</v>
      </c>
      <c r="AQ23" s="357">
        <f t="shared" si="2"/>
        <v>22613.95</v>
      </c>
      <c r="AR23" s="357">
        <f t="shared" si="3"/>
        <v>0</v>
      </c>
    </row>
    <row r="24" spans="1:44" s="470" customFormat="1" ht="21">
      <c r="A24" s="469">
        <v>1101030102</v>
      </c>
      <c r="B24" s="470" t="s">
        <v>15</v>
      </c>
      <c r="C24" s="471" t="s">
        <v>52</v>
      </c>
      <c r="D24" s="472">
        <v>9092199648</v>
      </c>
      <c r="E24" s="473" t="s">
        <v>8</v>
      </c>
      <c r="F24" s="474">
        <v>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4">
        <f t="shared" si="0"/>
        <v>0</v>
      </c>
      <c r="AM24" s="475"/>
      <c r="AN24" s="474">
        <v>0</v>
      </c>
      <c r="AO24" s="477">
        <f t="shared" si="1"/>
        <v>0</v>
      </c>
      <c r="AP24" s="469"/>
      <c r="AQ24" s="478">
        <f t="shared" si="2"/>
        <v>0</v>
      </c>
      <c r="AR24" s="478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451">
        <v>539950.72</v>
      </c>
      <c r="H25" s="373"/>
      <c r="AL25" s="345">
        <f t="shared" si="0"/>
        <v>539950.72</v>
      </c>
      <c r="AN25" s="451">
        <v>541097.75</v>
      </c>
      <c r="AO25" s="381">
        <f t="shared" si="1"/>
        <v>1147.030000000028</v>
      </c>
      <c r="AP25" s="369" t="s">
        <v>93</v>
      </c>
      <c r="AQ25" s="357">
        <f t="shared" si="2"/>
        <v>541097.75</v>
      </c>
      <c r="AR25" s="357">
        <f t="shared" si="3"/>
        <v>0</v>
      </c>
    </row>
    <row r="26" spans="1:44" s="470" customFormat="1" ht="21">
      <c r="A26" s="469">
        <v>1101030102</v>
      </c>
      <c r="B26" s="470" t="s">
        <v>2</v>
      </c>
      <c r="C26" s="471" t="s">
        <v>53</v>
      </c>
      <c r="D26" s="472">
        <v>9321151400</v>
      </c>
      <c r="E26" s="473" t="s">
        <v>17</v>
      </c>
      <c r="F26" s="474"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4">
        <f t="shared" si="0"/>
        <v>0</v>
      </c>
      <c r="AM26" s="475"/>
      <c r="AN26" s="474">
        <v>0</v>
      </c>
      <c r="AO26" s="477">
        <f t="shared" si="1"/>
        <v>0</v>
      </c>
      <c r="AP26" s="469"/>
      <c r="AQ26" s="478">
        <f t="shared" si="2"/>
        <v>0</v>
      </c>
      <c r="AR26" s="478">
        <f t="shared" si="3"/>
        <v>0</v>
      </c>
    </row>
    <row r="27" spans="1:44" s="470" customFormat="1" ht="21">
      <c r="A27" s="469">
        <v>1101030102</v>
      </c>
      <c r="B27" s="470" t="s">
        <v>2</v>
      </c>
      <c r="C27" s="471" t="s">
        <v>54</v>
      </c>
      <c r="D27" s="472">
        <v>9321484736</v>
      </c>
      <c r="E27" s="473" t="s">
        <v>19</v>
      </c>
      <c r="F27" s="474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4">
        <f t="shared" si="0"/>
        <v>0</v>
      </c>
      <c r="AM27" s="475"/>
      <c r="AN27" s="474"/>
      <c r="AO27" s="477">
        <f t="shared" si="1"/>
        <v>0</v>
      </c>
      <c r="AP27" s="469"/>
      <c r="AQ27" s="478">
        <f t="shared" si="2"/>
        <v>0</v>
      </c>
      <c r="AR27" s="478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451">
        <v>41996.78</v>
      </c>
      <c r="H28" s="373"/>
      <c r="AL28" s="345">
        <f t="shared" si="0"/>
        <v>41996.78</v>
      </c>
      <c r="AN28" s="451">
        <v>41996.78</v>
      </c>
      <c r="AO28" s="381">
        <f t="shared" si="1"/>
        <v>0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451">
        <v>3921.26</v>
      </c>
      <c r="H29" s="373"/>
      <c r="AL29" s="345">
        <f t="shared" si="0"/>
        <v>3921.26</v>
      </c>
      <c r="AN29" s="451">
        <v>3921.26</v>
      </c>
      <c r="AO29" s="381">
        <f t="shared" si="1"/>
        <v>0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451">
        <v>4395.38</v>
      </c>
      <c r="H30" s="373"/>
      <c r="AL30" s="345">
        <f t="shared" si="0"/>
        <v>4395.38</v>
      </c>
      <c r="AN30" s="451">
        <v>4395.38</v>
      </c>
      <c r="AO30" s="381">
        <f t="shared" si="1"/>
        <v>0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451">
        <v>101262.75</v>
      </c>
      <c r="H31" s="373"/>
      <c r="AL31" s="345">
        <f t="shared" si="0"/>
        <v>101262.75</v>
      </c>
      <c r="AN31" s="451">
        <v>101262.75</v>
      </c>
      <c r="AO31" s="381">
        <f t="shared" si="1"/>
        <v>0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451">
        <v>0</v>
      </c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451">
        <v>7912501.26</v>
      </c>
      <c r="H33" s="373"/>
      <c r="AJ33" s="373">
        <f>-6</f>
        <v>-6</v>
      </c>
      <c r="AL33" s="345">
        <f t="shared" si="0"/>
        <v>7912495.26</v>
      </c>
      <c r="AN33" s="451">
        <v>10956332.49</v>
      </c>
      <c r="AO33" s="381">
        <f t="shared" si="1"/>
        <v>3043837.2300000004</v>
      </c>
      <c r="AP33" s="369" t="s">
        <v>93</v>
      </c>
      <c r="AQ33" s="357">
        <f t="shared" si="2"/>
        <v>10956332.49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451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452">
        <v>272015218.07</v>
      </c>
      <c r="H35" s="373"/>
      <c r="AL35" s="345">
        <f t="shared" si="0"/>
        <v>272015218.07</v>
      </c>
      <c r="AN35" s="451">
        <v>281548369.24</v>
      </c>
      <c r="AO35" s="405">
        <f t="shared" si="1"/>
        <v>9533151.170000017</v>
      </c>
      <c r="AP35" s="369" t="s">
        <v>93</v>
      </c>
      <c r="AQ35" s="357">
        <f t="shared" si="2"/>
        <v>281548369.24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451">
        <v>13224671.64</v>
      </c>
      <c r="H36" s="373"/>
      <c r="AL36" s="345">
        <f t="shared" si="0"/>
        <v>13224671.64</v>
      </c>
      <c r="AN36" s="451">
        <v>11728342.78</v>
      </c>
      <c r="AO36" s="381">
        <f t="shared" si="1"/>
        <v>-1496328.8600000013</v>
      </c>
      <c r="AP36" s="369" t="s">
        <v>92</v>
      </c>
      <c r="AQ36" s="357">
        <f t="shared" si="2"/>
        <v>11728342.78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451">
        <v>45082395.29</v>
      </c>
      <c r="H37" s="373"/>
      <c r="AL37" s="345">
        <f t="shared" si="0"/>
        <v>45082395.29</v>
      </c>
      <c r="AN37" s="451">
        <v>44513634.81</v>
      </c>
      <c r="AO37" s="381">
        <f t="shared" si="1"/>
        <v>-568760.4799999967</v>
      </c>
      <c r="AP37" s="369" t="s">
        <v>92</v>
      </c>
      <c r="AQ37" s="357">
        <f t="shared" si="2"/>
        <v>44513634.81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451">
        <v>12019643</v>
      </c>
      <c r="H38" s="373"/>
      <c r="AL38" s="345">
        <f t="shared" si="0"/>
        <v>12019643</v>
      </c>
      <c r="AN38" s="451">
        <v>11909643</v>
      </c>
      <c r="AO38" s="381">
        <f t="shared" si="1"/>
        <v>-110000</v>
      </c>
      <c r="AP38" s="369" t="s">
        <v>92</v>
      </c>
      <c r="AQ38" s="357">
        <f t="shared" si="2"/>
        <v>11909643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451">
        <v>10914280.85</v>
      </c>
      <c r="H39" s="373"/>
      <c r="AL39" s="345">
        <f t="shared" si="0"/>
        <v>10914280.85</v>
      </c>
      <c r="AN39" s="451">
        <v>10914280.85</v>
      </c>
      <c r="AO39" s="381">
        <f t="shared" si="1"/>
        <v>0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451">
        <v>5448808.97</v>
      </c>
      <c r="H40" s="373">
        <v>51400</v>
      </c>
      <c r="K40" s="373">
        <v>65465</v>
      </c>
      <c r="L40" s="373">
        <v>59500</v>
      </c>
      <c r="M40" s="373">
        <v>80165</v>
      </c>
      <c r="N40" s="373">
        <v>75700</v>
      </c>
      <c r="O40" s="373">
        <v>39160</v>
      </c>
      <c r="R40" s="373">
        <f>62200</f>
        <v>62200</v>
      </c>
      <c r="S40" s="373">
        <v>64565</v>
      </c>
      <c r="T40" s="373">
        <v>73230</v>
      </c>
      <c r="U40" s="373">
        <v>51900</v>
      </c>
      <c r="V40" s="373">
        <f>28830</f>
        <v>28830</v>
      </c>
      <c r="Y40" s="375">
        <v>92030</v>
      </c>
      <c r="Z40" s="373">
        <v>62065</v>
      </c>
      <c r="AA40" s="373">
        <v>20700</v>
      </c>
      <c r="AB40" s="373">
        <v>65800</v>
      </c>
      <c r="AC40" s="373">
        <v>25000</v>
      </c>
      <c r="AF40" s="373">
        <f>38500</f>
        <v>38500</v>
      </c>
      <c r="AG40" s="373">
        <v>51590</v>
      </c>
      <c r="AH40" s="373">
        <v>17265</v>
      </c>
      <c r="AI40" s="373">
        <v>62530</v>
      </c>
      <c r="AJ40" s="373">
        <v>32665</v>
      </c>
      <c r="AL40" s="345">
        <f t="shared" si="0"/>
        <v>6569068.97</v>
      </c>
      <c r="AN40" s="451">
        <v>6482045.97</v>
      </c>
      <c r="AO40" s="381">
        <f t="shared" si="1"/>
        <v>-87023</v>
      </c>
      <c r="AP40" s="369" t="s">
        <v>92</v>
      </c>
      <c r="AQ40" s="357">
        <f t="shared" si="2"/>
        <v>6482045.97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451">
        <v>572223.25</v>
      </c>
      <c r="H41" s="373"/>
      <c r="AL41" s="345">
        <f t="shared" si="0"/>
        <v>572223.25</v>
      </c>
      <c r="AN41" s="451">
        <v>572223.25</v>
      </c>
      <c r="AO41" s="381">
        <f t="shared" si="1"/>
        <v>0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451"/>
      <c r="H42" s="373"/>
      <c r="AL42" s="345">
        <f t="shared" si="0"/>
        <v>0</v>
      </c>
      <c r="AN42" s="451"/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451">
        <v>1786418.74</v>
      </c>
      <c r="H43" s="373"/>
      <c r="AL43" s="345">
        <f t="shared" si="0"/>
        <v>1786418.74</v>
      </c>
      <c r="AN43" s="451">
        <v>1786418.74</v>
      </c>
      <c r="AO43" s="381">
        <f t="shared" si="1"/>
        <v>0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451">
        <v>26388.71</v>
      </c>
      <c r="H44" s="373">
        <v>54300</v>
      </c>
      <c r="AL44" s="345">
        <f t="shared" si="0"/>
        <v>80688.70999999999</v>
      </c>
      <c r="AN44" s="451">
        <v>26742.71</v>
      </c>
      <c r="AO44" s="381">
        <f t="shared" si="1"/>
        <v>-53945.99999999999</v>
      </c>
      <c r="AP44" s="369" t="s">
        <v>92</v>
      </c>
      <c r="AQ44" s="357">
        <f t="shared" si="2"/>
        <v>26742.71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451">
        <v>369076.97</v>
      </c>
      <c r="H45" s="373"/>
      <c r="AL45" s="345">
        <f t="shared" si="0"/>
        <v>369076.97</v>
      </c>
      <c r="AN45" s="451">
        <v>369076.97</v>
      </c>
      <c r="AO45" s="381">
        <f t="shared" si="1"/>
        <v>0</v>
      </c>
      <c r="AQ45" s="357">
        <f t="shared" si="2"/>
        <v>369076.97</v>
      </c>
      <c r="AR45" s="357">
        <f t="shared" si="3"/>
        <v>0</v>
      </c>
    </row>
    <row r="46" spans="1:44" s="470" customFormat="1" ht="21">
      <c r="A46" s="469">
        <v>1101030102</v>
      </c>
      <c r="B46" s="470" t="s">
        <v>13</v>
      </c>
      <c r="C46" s="471" t="s">
        <v>68</v>
      </c>
      <c r="D46" s="472">
        <v>5081084530</v>
      </c>
      <c r="E46" s="473" t="s">
        <v>84</v>
      </c>
      <c r="F46" s="474">
        <v>0</v>
      </c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4">
        <f t="shared" si="0"/>
        <v>0</v>
      </c>
      <c r="AM46" s="475"/>
      <c r="AN46" s="474">
        <v>0</v>
      </c>
      <c r="AO46" s="477">
        <f t="shared" si="1"/>
        <v>0</v>
      </c>
      <c r="AP46" s="469"/>
      <c r="AQ46" s="478">
        <f t="shared" si="2"/>
        <v>0</v>
      </c>
      <c r="AR46" s="478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451">
        <v>29465984.81</v>
      </c>
      <c r="H47" s="373"/>
      <c r="AL47" s="345">
        <f t="shared" si="0"/>
        <v>29465984.81</v>
      </c>
      <c r="AN47" s="451">
        <v>26033901.71</v>
      </c>
      <c r="AO47" s="381">
        <f t="shared" si="1"/>
        <v>-3432083.0999999978</v>
      </c>
      <c r="AP47" s="369" t="s">
        <v>92</v>
      </c>
      <c r="AQ47" s="357">
        <f t="shared" si="2"/>
        <v>26033901.71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451">
        <v>84922.26</v>
      </c>
      <c r="H48" s="373"/>
      <c r="AL48" s="345">
        <f t="shared" si="0"/>
        <v>84922.26</v>
      </c>
      <c r="AN48" s="451">
        <v>84922.26</v>
      </c>
      <c r="AO48" s="381">
        <f t="shared" si="1"/>
        <v>0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451">
        <v>7313143.88</v>
      </c>
      <c r="H49" s="373"/>
      <c r="AL49" s="345">
        <f t="shared" si="0"/>
        <v>7313143.88</v>
      </c>
      <c r="AN49" s="451">
        <v>7313143.88</v>
      </c>
      <c r="AO49" s="381">
        <f t="shared" si="1"/>
        <v>0</v>
      </c>
      <c r="AQ49" s="357">
        <f t="shared" si="2"/>
        <v>7313143.88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451">
        <v>13485546.09</v>
      </c>
      <c r="H50" s="373"/>
      <c r="N50" s="373">
        <v>1070</v>
      </c>
      <c r="O50" s="373">
        <v>2000</v>
      </c>
      <c r="AI50" s="373">
        <f>5500</f>
        <v>5500</v>
      </c>
      <c r="AL50" s="345">
        <f t="shared" si="0"/>
        <v>13494116.09</v>
      </c>
      <c r="AN50" s="451">
        <v>13479595.53</v>
      </c>
      <c r="AO50" s="381">
        <f t="shared" si="1"/>
        <v>-14520.560000000522</v>
      </c>
      <c r="AP50" s="369" t="s">
        <v>92</v>
      </c>
      <c r="AQ50" s="357">
        <f t="shared" si="2"/>
        <v>13479595.53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451">
        <v>43646905.7</v>
      </c>
      <c r="H51" s="373"/>
      <c r="AL51" s="345">
        <f t="shared" si="0"/>
        <v>43646905.7</v>
      </c>
      <c r="AN51" s="451">
        <v>43646905.7</v>
      </c>
      <c r="AO51" s="381">
        <f t="shared" si="1"/>
        <v>0</v>
      </c>
      <c r="AQ51" s="357">
        <f t="shared" si="2"/>
        <v>43646905.7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451">
        <v>7272.31</v>
      </c>
      <c r="H52" s="373"/>
      <c r="AL52" s="345">
        <f t="shared" si="0"/>
        <v>7272.31</v>
      </c>
      <c r="AN52" s="451">
        <v>77272.31</v>
      </c>
      <c r="AO52" s="381">
        <f t="shared" si="1"/>
        <v>70000</v>
      </c>
      <c r="AP52" s="369" t="s">
        <v>93</v>
      </c>
      <c r="AQ52" s="357">
        <f t="shared" si="2"/>
        <v>77272.31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451">
        <v>1983465.31</v>
      </c>
      <c r="H53" s="373"/>
      <c r="AL53" s="345">
        <f t="shared" si="0"/>
        <v>1983465.31</v>
      </c>
      <c r="AN53" s="451">
        <v>2021437.91</v>
      </c>
      <c r="AO53" s="381">
        <f t="shared" si="1"/>
        <v>37972.59999999986</v>
      </c>
      <c r="AP53" s="369" t="s">
        <v>93</v>
      </c>
      <c r="AQ53" s="357">
        <f t="shared" si="2"/>
        <v>2021437.91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465">
        <v>249463.31</v>
      </c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345">
        <f t="shared" si="0"/>
        <v>249463.31</v>
      </c>
      <c r="AM54" s="464"/>
      <c r="AN54" s="465">
        <v>249463.31</v>
      </c>
      <c r="AO54" s="381">
        <f t="shared" si="1"/>
        <v>0</v>
      </c>
      <c r="AP54" s="456"/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451">
        <v>30000000</v>
      </c>
      <c r="H55" s="373"/>
      <c r="AL55" s="345">
        <f t="shared" si="0"/>
        <v>30000000</v>
      </c>
      <c r="AN55" s="451"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53">
        <v>10533644.86</v>
      </c>
      <c r="H56" s="373"/>
      <c r="AL56" s="345">
        <f t="shared" si="0"/>
        <v>10533644.86</v>
      </c>
      <c r="AM56" s="412"/>
      <c r="AN56" s="453">
        <v>10533644.86</v>
      </c>
      <c r="AO56" s="415">
        <f t="shared" si="1"/>
        <v>0</v>
      </c>
      <c r="AP56" s="416"/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621912779.2799999</v>
      </c>
      <c r="G57" s="374">
        <f aca="true" t="shared" si="4" ref="G57:AL57">SUM(G3:G56)</f>
        <v>0</v>
      </c>
      <c r="H57" s="421">
        <f t="shared" si="4"/>
        <v>587482</v>
      </c>
      <c r="I57" s="421">
        <f t="shared" si="4"/>
        <v>0</v>
      </c>
      <c r="J57" s="421">
        <f t="shared" si="4"/>
        <v>0</v>
      </c>
      <c r="K57" s="421">
        <f t="shared" si="4"/>
        <v>517766</v>
      </c>
      <c r="L57" s="421">
        <f t="shared" si="4"/>
        <v>278140.64</v>
      </c>
      <c r="M57" s="421">
        <f t="shared" si="4"/>
        <v>314524.49</v>
      </c>
      <c r="N57" s="421">
        <f t="shared" si="4"/>
        <v>462545.8</v>
      </c>
      <c r="O57" s="421">
        <f t="shared" si="4"/>
        <v>209138.9</v>
      </c>
      <c r="P57" s="421">
        <f t="shared" si="4"/>
        <v>0</v>
      </c>
      <c r="Q57" s="421">
        <f t="shared" si="4"/>
        <v>0</v>
      </c>
      <c r="R57" s="421">
        <f t="shared" si="4"/>
        <v>476991.71</v>
      </c>
      <c r="S57" s="421">
        <f t="shared" si="4"/>
        <v>248413.16</v>
      </c>
      <c r="T57" s="421">
        <f t="shared" si="4"/>
        <v>208981.06000000008</v>
      </c>
      <c r="U57" s="421">
        <f t="shared" si="4"/>
        <v>198882.79</v>
      </c>
      <c r="V57" s="421">
        <f t="shared" si="4"/>
        <v>16469.89</v>
      </c>
      <c r="W57" s="421">
        <f t="shared" si="4"/>
        <v>0</v>
      </c>
      <c r="X57" s="421">
        <f t="shared" si="4"/>
        <v>0</v>
      </c>
      <c r="Y57" s="422">
        <f t="shared" si="4"/>
        <v>818673.1</v>
      </c>
      <c r="Z57" s="421">
        <f t="shared" si="4"/>
        <v>-19710729</v>
      </c>
      <c r="AA57" s="421">
        <f t="shared" si="4"/>
        <v>-81893.10999999999</v>
      </c>
      <c r="AB57" s="421">
        <f t="shared" si="4"/>
        <v>-2652548.98</v>
      </c>
      <c r="AC57" s="421">
        <f t="shared" si="4"/>
        <v>-3754975.9400000004</v>
      </c>
      <c r="AD57" s="421">
        <f t="shared" si="4"/>
        <v>0</v>
      </c>
      <c r="AE57" s="421">
        <f t="shared" si="4"/>
        <v>0</v>
      </c>
      <c r="AF57" s="421">
        <f t="shared" si="4"/>
        <v>2663960</v>
      </c>
      <c r="AG57" s="421">
        <f t="shared" si="4"/>
        <v>845435.3</v>
      </c>
      <c r="AH57" s="421">
        <f t="shared" si="4"/>
        <v>184725.83</v>
      </c>
      <c r="AI57" s="421">
        <f t="shared" si="4"/>
        <v>362353.09</v>
      </c>
      <c r="AJ57" s="421">
        <f t="shared" si="4"/>
        <v>192158.36</v>
      </c>
      <c r="AK57" s="421">
        <f t="shared" si="4"/>
        <v>0</v>
      </c>
      <c r="AL57" s="423">
        <f t="shared" si="4"/>
        <v>604299274.3699999</v>
      </c>
      <c r="AM57" s="424"/>
      <c r="AN57" s="425">
        <f>SUM(AN3:AN56)</f>
        <v>612705827.6599998</v>
      </c>
      <c r="AO57" s="425">
        <f>SUM(AO3:AO56)</f>
        <v>8406553.290000027</v>
      </c>
      <c r="AP57" s="427"/>
      <c r="AQ57" s="428">
        <f t="shared" si="2"/>
        <v>612705827.66</v>
      </c>
      <c r="AR57" s="357">
        <f t="shared" si="3"/>
        <v>0</v>
      </c>
    </row>
    <row r="58" spans="1:44" ht="21.75" thickBot="1">
      <c r="A58" s="479"/>
      <c r="B58" s="480"/>
      <c r="C58" s="481"/>
      <c r="D58" s="482"/>
      <c r="E58" s="483"/>
      <c r="F58" s="484"/>
      <c r="G58" s="374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2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85"/>
      <c r="AM58" s="486"/>
      <c r="AN58" s="487"/>
      <c r="AO58" s="487"/>
      <c r="AP58" s="488"/>
      <c r="AQ58" s="428"/>
      <c r="AR58" s="357"/>
    </row>
    <row r="59" spans="1:45" s="438" customFormat="1" ht="21">
      <c r="A59" s="511" t="s">
        <v>145</v>
      </c>
      <c r="B59" s="512"/>
      <c r="C59" s="513"/>
      <c r="D59" s="429">
        <f>SUM(AO21:AO35,AO52:AO53)</f>
        <v>14169215.290000023</v>
      </c>
      <c r="E59" s="430"/>
      <c r="F59" s="431"/>
      <c r="G59" s="432">
        <f>F57+G57</f>
        <v>621912779.2799999</v>
      </c>
      <c r="H59" s="433">
        <f aca="true" t="shared" si="5" ref="H59:AK59">G59+H57</f>
        <v>622500261.2799999</v>
      </c>
      <c r="I59" s="433">
        <f t="shared" si="5"/>
        <v>622500261.2799999</v>
      </c>
      <c r="J59" s="433">
        <f t="shared" si="5"/>
        <v>622500261.2799999</v>
      </c>
      <c r="K59" s="433">
        <f t="shared" si="5"/>
        <v>623018027.2799999</v>
      </c>
      <c r="L59" s="433">
        <f t="shared" si="5"/>
        <v>623296167.9199998</v>
      </c>
      <c r="M59" s="433">
        <f t="shared" si="5"/>
        <v>623610692.4099998</v>
      </c>
      <c r="N59" s="433">
        <f t="shared" si="5"/>
        <v>624073238.2099998</v>
      </c>
      <c r="O59" s="433">
        <f t="shared" si="5"/>
        <v>624282377.1099998</v>
      </c>
      <c r="P59" s="433">
        <f t="shared" si="5"/>
        <v>624282377.1099998</v>
      </c>
      <c r="Q59" s="433">
        <f t="shared" si="5"/>
        <v>624282377.1099998</v>
      </c>
      <c r="R59" s="433">
        <f t="shared" si="5"/>
        <v>624759368.8199998</v>
      </c>
      <c r="S59" s="433">
        <f t="shared" si="5"/>
        <v>625007781.9799998</v>
      </c>
      <c r="T59" s="433">
        <f t="shared" si="5"/>
        <v>625216763.0399997</v>
      </c>
      <c r="U59" s="433">
        <f t="shared" si="5"/>
        <v>625415645.8299997</v>
      </c>
      <c r="V59" s="433">
        <f t="shared" si="5"/>
        <v>625432115.7199997</v>
      </c>
      <c r="W59" s="433">
        <f t="shared" si="5"/>
        <v>625432115.7199997</v>
      </c>
      <c r="X59" s="433">
        <f t="shared" si="5"/>
        <v>625432115.7199997</v>
      </c>
      <c r="Y59" s="433">
        <f t="shared" si="5"/>
        <v>626250788.8199997</v>
      </c>
      <c r="Z59" s="433">
        <f t="shared" si="5"/>
        <v>606540059.8199997</v>
      </c>
      <c r="AA59" s="433">
        <f t="shared" si="5"/>
        <v>606458166.7099997</v>
      </c>
      <c r="AB59" s="433">
        <f t="shared" si="5"/>
        <v>603805617.7299997</v>
      </c>
      <c r="AC59" s="433">
        <f t="shared" si="5"/>
        <v>600050641.7899996</v>
      </c>
      <c r="AD59" s="433">
        <f t="shared" si="5"/>
        <v>600050641.7899996</v>
      </c>
      <c r="AE59" s="433">
        <f>AD59+AE57</f>
        <v>600050641.7899996</v>
      </c>
      <c r="AF59" s="433">
        <f t="shared" si="5"/>
        <v>602714601.7899996</v>
      </c>
      <c r="AG59" s="433">
        <f t="shared" si="5"/>
        <v>603560037.0899996</v>
      </c>
      <c r="AH59" s="433">
        <f t="shared" si="5"/>
        <v>603744762.9199996</v>
      </c>
      <c r="AI59" s="433">
        <f t="shared" si="5"/>
        <v>604107116.0099996</v>
      </c>
      <c r="AJ59" s="433">
        <f t="shared" si="5"/>
        <v>604299274.3699996</v>
      </c>
      <c r="AK59" s="433">
        <f t="shared" si="5"/>
        <v>604299274.3699996</v>
      </c>
      <c r="AL59" s="433"/>
      <c r="AM59" s="434"/>
      <c r="AN59" s="435"/>
      <c r="AO59" s="436"/>
      <c r="AP59" s="437"/>
      <c r="AS59" s="434" t="s">
        <v>131</v>
      </c>
    </row>
    <row r="60" spans="1:45" ht="21">
      <c r="A60" s="514" t="s">
        <v>140</v>
      </c>
      <c r="B60" s="515"/>
      <c r="C60" s="516"/>
      <c r="D60" s="281">
        <v>0</v>
      </c>
      <c r="E60" s="300"/>
      <c r="F60" s="290"/>
      <c r="G60" s="439"/>
      <c r="I60" s="374"/>
      <c r="J60" s="374"/>
      <c r="AS60" s="376" t="s">
        <v>132</v>
      </c>
    </row>
    <row r="61" spans="1:43" ht="21">
      <c r="A61" s="301"/>
      <c r="B61" s="282"/>
      <c r="C61" s="280" t="s">
        <v>138</v>
      </c>
      <c r="D61" s="283"/>
      <c r="E61" s="302">
        <f>D59+D60</f>
        <v>14169215.290000023</v>
      </c>
      <c r="F61" s="290"/>
      <c r="G61" s="439"/>
      <c r="L61" s="373">
        <f>623296167.92-L59</f>
        <v>0</v>
      </c>
      <c r="N61" s="373">
        <f>624073238.21</f>
        <v>624073238.21</v>
      </c>
      <c r="AQ61" s="357">
        <f>D59+D63</f>
        <v>8406553.290000027</v>
      </c>
    </row>
    <row r="62" spans="1:38" ht="21.75" thickBot="1">
      <c r="A62" s="303"/>
      <c r="B62" s="282"/>
      <c r="C62" s="284"/>
      <c r="D62" s="285"/>
      <c r="E62" s="304"/>
      <c r="F62" s="290"/>
      <c r="G62" s="441"/>
      <c r="N62" s="373">
        <f>N61-N59</f>
        <v>0</v>
      </c>
      <c r="AB62" s="373">
        <f>603805617.73</f>
        <v>603805617.73</v>
      </c>
      <c r="AL62" s="442"/>
    </row>
    <row r="63" spans="1:43" ht="21.75" thickBot="1">
      <c r="A63" s="517" t="s">
        <v>146</v>
      </c>
      <c r="B63" s="518"/>
      <c r="C63" s="519"/>
      <c r="D63" s="281">
        <f>E65</f>
        <v>-5762661.999999996</v>
      </c>
      <c r="E63" s="304"/>
      <c r="F63" s="290" t="s">
        <v>144</v>
      </c>
      <c r="G63" s="441"/>
      <c r="AB63" s="373">
        <f>AB59-AB62</f>
        <v>0</v>
      </c>
      <c r="AK63" s="443"/>
      <c r="AL63" s="444">
        <f>E61+D63</f>
        <v>8406553.290000027</v>
      </c>
      <c r="AM63" s="291"/>
      <c r="AQ63" s="357"/>
    </row>
    <row r="64" spans="1:43" ht="21">
      <c r="A64" s="301"/>
      <c r="B64" s="286"/>
      <c r="C64" s="287" t="s">
        <v>141</v>
      </c>
      <c r="D64" s="280"/>
      <c r="E64" s="305">
        <v>0</v>
      </c>
      <c r="F64" s="290"/>
      <c r="G64" s="441"/>
      <c r="AL64" s="445"/>
      <c r="AN64" s="468"/>
      <c r="AO64" s="378" t="s">
        <v>80</v>
      </c>
      <c r="AQ64" s="357">
        <f>AQ63+AN63</f>
        <v>0</v>
      </c>
    </row>
    <row r="65" spans="1:6" ht="21">
      <c r="A65" s="303"/>
      <c r="B65" s="282"/>
      <c r="C65" s="288" t="s">
        <v>139</v>
      </c>
      <c r="D65" s="289"/>
      <c r="E65" s="306">
        <f>SUM(AO36:AO51)</f>
        <v>-5762661.999999996</v>
      </c>
      <c r="F65" s="291"/>
    </row>
    <row r="66" spans="1:6" ht="21.75" thickBot="1">
      <c r="A66" s="307"/>
      <c r="B66" s="308"/>
      <c r="C66" s="308"/>
      <c r="D66" s="309"/>
      <c r="E66" s="310"/>
      <c r="F66" s="291"/>
    </row>
    <row r="67" spans="1:5" ht="21">
      <c r="A67" s="446"/>
      <c r="B67" s="447"/>
      <c r="C67" s="447"/>
      <c r="D67" s="448"/>
      <c r="E67" s="449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  <row r="75" ht="21">
      <c r="D75" s="450"/>
    </row>
  </sheetData>
  <sheetProtection/>
  <mergeCells count="10">
    <mergeCell ref="G1:AK1"/>
    <mergeCell ref="A59:C59"/>
    <mergeCell ref="A60:C60"/>
    <mergeCell ref="A63:C63"/>
    <mergeCell ref="A1:A2"/>
    <mergeCell ref="B1:B2"/>
    <mergeCell ref="C1:C2"/>
    <mergeCell ref="D1:D2"/>
    <mergeCell ref="E1:E2"/>
    <mergeCell ref="F1:F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.7086614173228347" right="0.31496062992125984" top="0.35433070866141736" bottom="0.15748031496062992" header="0.31496062992125984" footer="0.31496062992125984"/>
  <pageSetup orientation="landscape" paperSize="9" scale="9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140625" style="124" customWidth="1"/>
    <col min="2" max="2" width="16.421875" style="125" hidden="1" customWidth="1"/>
    <col min="3" max="3" width="49.7109375" style="125" customWidth="1"/>
    <col min="4" max="4" width="21.421875" style="126" customWidth="1"/>
    <col min="5" max="5" width="20.140625" style="130" customWidth="1"/>
    <col min="6" max="6" width="18.421875" style="128" hidden="1" customWidth="1"/>
    <col min="7" max="7" width="15.7109375" style="329" hidden="1" customWidth="1"/>
    <col min="8" max="8" width="15.7109375" style="330" hidden="1" customWidth="1"/>
    <col min="9" max="16384" width="9.140625" style="125" customWidth="1"/>
  </cols>
  <sheetData>
    <row r="1" spans="1:8" s="114" customFormat="1" ht="27" customHeight="1">
      <c r="A1" s="544" t="s">
        <v>73</v>
      </c>
      <c r="B1" s="546" t="s">
        <v>3</v>
      </c>
      <c r="C1" s="546" t="s">
        <v>46</v>
      </c>
      <c r="D1" s="548" t="s">
        <v>1</v>
      </c>
      <c r="E1" s="550" t="s">
        <v>45</v>
      </c>
      <c r="F1" s="533" t="s">
        <v>127</v>
      </c>
      <c r="G1" s="555" t="s">
        <v>159</v>
      </c>
      <c r="H1" s="556"/>
    </row>
    <row r="2" spans="1:8" s="114" customFormat="1" ht="23.25">
      <c r="A2" s="545"/>
      <c r="B2" s="547"/>
      <c r="C2" s="547"/>
      <c r="D2" s="549"/>
      <c r="E2" s="551"/>
      <c r="F2" s="534"/>
      <c r="G2" s="326">
        <v>1</v>
      </c>
      <c r="H2" s="326">
        <v>2</v>
      </c>
    </row>
    <row r="3" spans="1:8" s="114" customFormat="1" ht="23.25">
      <c r="A3" s="114" t="s">
        <v>72</v>
      </c>
      <c r="B3" s="114" t="s">
        <v>0</v>
      </c>
      <c r="D3" s="115"/>
      <c r="E3" s="116"/>
      <c r="G3" s="327"/>
      <c r="H3" s="327"/>
    </row>
    <row r="4" spans="1:6" ht="23.25">
      <c r="A4" s="124">
        <v>1101030101</v>
      </c>
      <c r="B4" s="125" t="s">
        <v>39</v>
      </c>
      <c r="D4" s="126">
        <v>9326000028</v>
      </c>
      <c r="E4" s="127" t="s">
        <v>4</v>
      </c>
      <c r="F4" s="125"/>
    </row>
    <row r="5" spans="1:6" ht="23.25">
      <c r="A5" s="124">
        <v>1101030101</v>
      </c>
      <c r="B5" s="125" t="s">
        <v>2</v>
      </c>
      <c r="D5" s="126">
        <v>9326001040</v>
      </c>
      <c r="E5" s="127" t="s">
        <v>9</v>
      </c>
      <c r="F5" s="125"/>
    </row>
    <row r="6" spans="1:6" ht="23.25">
      <c r="A6" s="124">
        <v>1101030101</v>
      </c>
      <c r="B6" s="125" t="s">
        <v>2</v>
      </c>
      <c r="D6" s="126">
        <v>9326005097</v>
      </c>
      <c r="E6" s="127" t="s">
        <v>10</v>
      </c>
      <c r="F6" s="125"/>
    </row>
    <row r="7" spans="1:6" ht="23.25">
      <c r="A7" s="124">
        <v>1101030101</v>
      </c>
      <c r="B7" s="125" t="s">
        <v>2</v>
      </c>
      <c r="D7" s="126">
        <v>9326012476</v>
      </c>
      <c r="E7" s="127" t="s">
        <v>11</v>
      </c>
      <c r="F7" s="125"/>
    </row>
    <row r="8" spans="1:6" ht="23.25">
      <c r="A8" s="124">
        <v>1101030101</v>
      </c>
      <c r="B8" s="125" t="s">
        <v>14</v>
      </c>
      <c r="D8" s="129" t="s">
        <v>44</v>
      </c>
      <c r="E8" s="130" t="s">
        <v>49</v>
      </c>
      <c r="F8" s="125"/>
    </row>
    <row r="9" spans="1:6" ht="23.25">
      <c r="A9" s="124">
        <v>1101030101</v>
      </c>
      <c r="D9" s="126">
        <v>9326016978</v>
      </c>
      <c r="E9" s="127" t="s">
        <v>142</v>
      </c>
      <c r="F9" s="128">
        <v>126300</v>
      </c>
    </row>
    <row r="10" spans="5:6" ht="23.25" hidden="1">
      <c r="E10" s="127"/>
      <c r="F10" s="125"/>
    </row>
    <row r="11" spans="1:8" s="135" customFormat="1" ht="23.25">
      <c r="A11" s="132" t="s">
        <v>12</v>
      </c>
      <c r="B11" s="132" t="s">
        <v>0</v>
      </c>
      <c r="C11" s="132"/>
      <c r="D11" s="133"/>
      <c r="E11" s="134"/>
      <c r="G11" s="330"/>
      <c r="H11" s="330"/>
    </row>
    <row r="12" spans="1:8" ht="23.25">
      <c r="A12" s="124">
        <v>1101030102</v>
      </c>
      <c r="B12" s="125" t="s">
        <v>2</v>
      </c>
      <c r="C12" s="111" t="s">
        <v>86</v>
      </c>
      <c r="D12" s="218">
        <v>9321080872</v>
      </c>
      <c r="E12" s="219" t="s">
        <v>5</v>
      </c>
      <c r="F12" s="151">
        <v>99658632.97</v>
      </c>
      <c r="H12" s="329"/>
    </row>
    <row r="13" spans="1:6" ht="23.25">
      <c r="A13" s="124">
        <v>1101030102</v>
      </c>
      <c r="B13" s="125" t="s">
        <v>15</v>
      </c>
      <c r="C13" s="111" t="s">
        <v>50</v>
      </c>
      <c r="D13" s="126">
        <v>9091058013</v>
      </c>
      <c r="E13" s="127" t="s">
        <v>6</v>
      </c>
      <c r="F13" s="151">
        <v>636095.24</v>
      </c>
    </row>
    <row r="14" spans="1:6" ht="23.25">
      <c r="A14" s="124">
        <v>1101030102</v>
      </c>
      <c r="B14" s="125" t="s">
        <v>2</v>
      </c>
      <c r="C14" s="111" t="s">
        <v>51</v>
      </c>
      <c r="D14" s="126">
        <v>9321044531</v>
      </c>
      <c r="E14" s="127" t="s">
        <v>7</v>
      </c>
      <c r="F14" s="151">
        <v>12294.03</v>
      </c>
    </row>
    <row r="15" spans="1:6" ht="23.25">
      <c r="A15" s="124">
        <v>1101030102</v>
      </c>
      <c r="B15" s="125" t="s">
        <v>15</v>
      </c>
      <c r="C15" s="111" t="s">
        <v>52</v>
      </c>
      <c r="D15" s="126">
        <v>9092199648</v>
      </c>
      <c r="E15" s="127" t="s">
        <v>8</v>
      </c>
      <c r="F15" s="151">
        <v>174360.81</v>
      </c>
    </row>
    <row r="16" spans="1:6" ht="23.25">
      <c r="A16" s="124">
        <v>1101030102</v>
      </c>
      <c r="B16" s="125" t="s">
        <v>13</v>
      </c>
      <c r="C16" s="111" t="s">
        <v>143</v>
      </c>
      <c r="D16" s="129" t="s">
        <v>128</v>
      </c>
      <c r="E16" s="127" t="s">
        <v>147</v>
      </c>
      <c r="F16" s="151">
        <v>1077478.49</v>
      </c>
    </row>
    <row r="17" spans="1:6" ht="23.25">
      <c r="A17" s="124">
        <v>1101030102</v>
      </c>
      <c r="B17" s="125" t="s">
        <v>2</v>
      </c>
      <c r="C17" s="111" t="s">
        <v>53</v>
      </c>
      <c r="D17" s="126">
        <v>9321151400</v>
      </c>
      <c r="E17" s="127" t="s">
        <v>17</v>
      </c>
      <c r="F17" s="151">
        <v>15793.57</v>
      </c>
    </row>
    <row r="18" spans="1:6" ht="23.25">
      <c r="A18" s="124">
        <v>1101030102</v>
      </c>
      <c r="B18" s="125" t="s">
        <v>2</v>
      </c>
      <c r="C18" s="111" t="s">
        <v>54</v>
      </c>
      <c r="D18" s="126">
        <v>9321484736</v>
      </c>
      <c r="E18" s="127" t="s">
        <v>19</v>
      </c>
      <c r="F18" s="151">
        <v>0</v>
      </c>
    </row>
    <row r="19" spans="1:6" ht="23.25">
      <c r="A19" s="124">
        <v>1101030102</v>
      </c>
      <c r="B19" s="125" t="s">
        <v>2</v>
      </c>
      <c r="C19" s="111" t="s">
        <v>55</v>
      </c>
      <c r="D19" s="126">
        <v>9321441107</v>
      </c>
      <c r="E19" s="127" t="s">
        <v>20</v>
      </c>
      <c r="F19" s="151">
        <v>41917.54</v>
      </c>
    </row>
    <row r="20" spans="1:6" ht="23.25">
      <c r="A20" s="124">
        <v>1101030102</v>
      </c>
      <c r="B20" s="125" t="s">
        <v>2</v>
      </c>
      <c r="C20" s="111" t="s">
        <v>77</v>
      </c>
      <c r="D20" s="126">
        <v>9321441638</v>
      </c>
      <c r="E20" s="127" t="s">
        <v>21</v>
      </c>
      <c r="F20" s="151">
        <v>3913.86</v>
      </c>
    </row>
    <row r="21" spans="1:6" ht="23.25">
      <c r="A21" s="124">
        <v>1101030102</v>
      </c>
      <c r="B21" s="125" t="s">
        <v>2</v>
      </c>
      <c r="C21" s="111" t="s">
        <v>56</v>
      </c>
      <c r="D21" s="126">
        <v>9321474838</v>
      </c>
      <c r="E21" s="127" t="s">
        <v>22</v>
      </c>
      <c r="F21" s="151">
        <v>4387.09</v>
      </c>
    </row>
    <row r="22" spans="1:6" ht="23.25">
      <c r="A22" s="124">
        <v>1101030102</v>
      </c>
      <c r="B22" s="125" t="s">
        <v>2</v>
      </c>
      <c r="C22" s="111" t="s">
        <v>57</v>
      </c>
      <c r="D22" s="126">
        <v>9320023573</v>
      </c>
      <c r="E22" s="127" t="s">
        <v>23</v>
      </c>
      <c r="F22" s="151">
        <v>101071.68</v>
      </c>
    </row>
    <row r="23" spans="1:8" s="137" customFormat="1" ht="23.25">
      <c r="A23" s="136">
        <v>1101030102</v>
      </c>
      <c r="B23" s="137" t="s">
        <v>2</v>
      </c>
      <c r="C23" s="112" t="s">
        <v>58</v>
      </c>
      <c r="D23" s="138">
        <v>9321188886</v>
      </c>
      <c r="E23" s="139" t="s">
        <v>24</v>
      </c>
      <c r="F23" s="151">
        <v>0</v>
      </c>
      <c r="G23" s="331"/>
      <c r="H23" s="332"/>
    </row>
    <row r="24" spans="1:6" ht="23.25">
      <c r="A24" s="124">
        <v>1101030102</v>
      </c>
      <c r="B24" s="125" t="s">
        <v>2</v>
      </c>
      <c r="C24" s="111" t="s">
        <v>48</v>
      </c>
      <c r="D24" s="126">
        <v>9321108904</v>
      </c>
      <c r="E24" s="127" t="s">
        <v>25</v>
      </c>
      <c r="F24" s="151">
        <v>11121042.7</v>
      </c>
    </row>
    <row r="25" spans="1:8" s="137" customFormat="1" ht="23.25">
      <c r="A25" s="136">
        <v>1101030102</v>
      </c>
      <c r="B25" s="137" t="s">
        <v>14</v>
      </c>
      <c r="C25" s="112" t="s">
        <v>59</v>
      </c>
      <c r="D25" s="141" t="s">
        <v>16</v>
      </c>
      <c r="E25" s="139" t="s">
        <v>26</v>
      </c>
      <c r="F25" s="151">
        <v>0</v>
      </c>
      <c r="G25" s="331"/>
      <c r="H25" s="332"/>
    </row>
    <row r="26" spans="1:8" ht="23.25">
      <c r="A26" s="124">
        <v>1101030102</v>
      </c>
      <c r="B26" s="125" t="s">
        <v>14</v>
      </c>
      <c r="C26" s="111" t="s">
        <v>76</v>
      </c>
      <c r="D26" s="313" t="s">
        <v>60</v>
      </c>
      <c r="E26" s="312" t="s">
        <v>27</v>
      </c>
      <c r="F26" s="151">
        <v>140220977.62</v>
      </c>
      <c r="H26" s="329"/>
    </row>
    <row r="27" spans="1:6" ht="23.25">
      <c r="A27" s="124">
        <v>1101030102</v>
      </c>
      <c r="B27" s="125" t="s">
        <v>2</v>
      </c>
      <c r="C27" s="111" t="s">
        <v>61</v>
      </c>
      <c r="D27" s="218">
        <v>9320115583</v>
      </c>
      <c r="E27" s="219" t="s">
        <v>28</v>
      </c>
      <c r="F27" s="151">
        <v>16843495.01</v>
      </c>
    </row>
    <row r="28" spans="1:6" ht="23.25">
      <c r="A28" s="124">
        <v>1101030102</v>
      </c>
      <c r="B28" s="125" t="s">
        <v>2</v>
      </c>
      <c r="C28" s="111" t="s">
        <v>62</v>
      </c>
      <c r="D28" s="126">
        <v>9320261059</v>
      </c>
      <c r="E28" s="127" t="s">
        <v>29</v>
      </c>
      <c r="F28" s="151">
        <v>43729347.16</v>
      </c>
    </row>
    <row r="29" spans="1:6" ht="23.25">
      <c r="A29" s="124">
        <v>1101030102</v>
      </c>
      <c r="B29" s="125" t="s">
        <v>2</v>
      </c>
      <c r="C29" s="111" t="s">
        <v>63</v>
      </c>
      <c r="D29" s="126">
        <v>9320293791</v>
      </c>
      <c r="E29" s="127" t="s">
        <v>30</v>
      </c>
      <c r="F29" s="151">
        <v>13627643</v>
      </c>
    </row>
    <row r="30" spans="1:6" ht="23.25">
      <c r="A30" s="124">
        <v>1101030102</v>
      </c>
      <c r="B30" s="125" t="s">
        <v>2</v>
      </c>
      <c r="C30" s="111" t="s">
        <v>64</v>
      </c>
      <c r="D30" s="126">
        <v>9320293783</v>
      </c>
      <c r="E30" s="127" t="s">
        <v>34</v>
      </c>
      <c r="F30" s="151">
        <v>10749819.98</v>
      </c>
    </row>
    <row r="31" spans="1:6" ht="23.25">
      <c r="A31" s="124">
        <v>1101030102</v>
      </c>
      <c r="B31" s="125" t="s">
        <v>2</v>
      </c>
      <c r="C31" s="111" t="s">
        <v>47</v>
      </c>
      <c r="D31" s="126">
        <v>9320344507</v>
      </c>
      <c r="E31" s="127" t="s">
        <v>35</v>
      </c>
      <c r="F31" s="151">
        <v>7079064.73</v>
      </c>
    </row>
    <row r="32" spans="1:6" ht="23.25">
      <c r="A32" s="124">
        <v>1101030102</v>
      </c>
      <c r="B32" s="125" t="s">
        <v>2</v>
      </c>
      <c r="C32" s="111" t="s">
        <v>65</v>
      </c>
      <c r="D32" s="126">
        <v>9320429634</v>
      </c>
      <c r="E32" s="127" t="s">
        <v>36</v>
      </c>
      <c r="F32" s="151">
        <v>571143.55</v>
      </c>
    </row>
    <row r="33" spans="1:6" ht="23.25">
      <c r="A33" s="124">
        <v>1101030102</v>
      </c>
      <c r="B33" s="125" t="s">
        <v>2</v>
      </c>
      <c r="C33" s="111" t="s">
        <v>66</v>
      </c>
      <c r="D33" s="129" t="s">
        <v>38</v>
      </c>
      <c r="E33" s="130" t="s">
        <v>37</v>
      </c>
      <c r="F33" s="151">
        <v>0</v>
      </c>
    </row>
    <row r="34" spans="1:6" ht="23.25">
      <c r="A34" s="124">
        <v>1101030102</v>
      </c>
      <c r="B34" s="125" t="s">
        <v>2</v>
      </c>
      <c r="C34" s="111" t="s">
        <v>67</v>
      </c>
      <c r="D34" s="126">
        <v>9320515662</v>
      </c>
      <c r="E34" s="130" t="s">
        <v>81</v>
      </c>
      <c r="F34" s="151">
        <v>1626474.08</v>
      </c>
    </row>
    <row r="35" spans="1:6" ht="23.25">
      <c r="A35" s="124">
        <v>1101030102</v>
      </c>
      <c r="B35" s="125" t="s">
        <v>14</v>
      </c>
      <c r="C35" s="111" t="s">
        <v>69</v>
      </c>
      <c r="D35" s="129" t="s">
        <v>43</v>
      </c>
      <c r="E35" s="130" t="s">
        <v>82</v>
      </c>
      <c r="F35" s="151">
        <v>26271.17</v>
      </c>
    </row>
    <row r="36" spans="1:6" ht="23.25">
      <c r="A36" s="124">
        <v>1101030102</v>
      </c>
      <c r="B36" s="125" t="s">
        <v>2</v>
      </c>
      <c r="C36" s="111" t="s">
        <v>70</v>
      </c>
      <c r="D36" s="126">
        <v>9320614350</v>
      </c>
      <c r="E36" s="130" t="s">
        <v>83</v>
      </c>
      <c r="F36" s="151">
        <v>379138.02</v>
      </c>
    </row>
    <row r="37" spans="1:6" ht="23.25">
      <c r="A37" s="124">
        <v>1101030102</v>
      </c>
      <c r="B37" s="125" t="s">
        <v>13</v>
      </c>
      <c r="C37" s="111" t="s">
        <v>68</v>
      </c>
      <c r="D37" s="126">
        <v>5081084530</v>
      </c>
      <c r="E37" s="127" t="s">
        <v>84</v>
      </c>
      <c r="F37" s="151">
        <v>123420.31</v>
      </c>
    </row>
    <row r="38" spans="1:6" ht="23.25">
      <c r="A38" s="124">
        <v>1101030102</v>
      </c>
      <c r="B38" s="125" t="s">
        <v>89</v>
      </c>
      <c r="C38" s="111" t="s">
        <v>87</v>
      </c>
      <c r="D38" s="129" t="s">
        <v>88</v>
      </c>
      <c r="E38" s="145" t="s">
        <v>90</v>
      </c>
      <c r="F38" s="151">
        <v>24089956.66</v>
      </c>
    </row>
    <row r="39" spans="1:6" ht="23.25">
      <c r="A39" s="124">
        <v>1101030102</v>
      </c>
      <c r="C39" s="111" t="s">
        <v>99</v>
      </c>
      <c r="D39" s="126" t="s">
        <v>100</v>
      </c>
      <c r="E39" s="146" t="s">
        <v>103</v>
      </c>
      <c r="F39" s="151">
        <v>84703.91</v>
      </c>
    </row>
    <row r="40" spans="1:6" ht="23.25">
      <c r="A40" s="124">
        <v>1101030102</v>
      </c>
      <c r="C40" s="111" t="s">
        <v>107</v>
      </c>
      <c r="D40" s="148" t="s">
        <v>108</v>
      </c>
      <c r="E40" s="149" t="s">
        <v>111</v>
      </c>
      <c r="F40" s="151">
        <v>6353834.91</v>
      </c>
    </row>
    <row r="41" spans="1:6" ht="23.25">
      <c r="A41" s="124">
        <v>1101030102</v>
      </c>
      <c r="B41" s="135" t="s">
        <v>0</v>
      </c>
      <c r="C41" s="111" t="s">
        <v>120</v>
      </c>
      <c r="D41" s="314">
        <v>9320830827</v>
      </c>
      <c r="E41" s="315" t="s">
        <v>121</v>
      </c>
      <c r="F41" s="151">
        <v>19042402.89</v>
      </c>
    </row>
    <row r="42" spans="1:6" ht="23.25">
      <c r="A42" s="124">
        <v>1101030102</v>
      </c>
      <c r="B42" s="135"/>
      <c r="C42" s="111" t="s">
        <v>122</v>
      </c>
      <c r="D42" s="148">
        <v>9320821550</v>
      </c>
      <c r="E42" s="149" t="s">
        <v>123</v>
      </c>
      <c r="F42" s="151">
        <v>48821265.7</v>
      </c>
    </row>
    <row r="43" spans="1:6" ht="23.25">
      <c r="A43" s="124">
        <v>1101030102</v>
      </c>
      <c r="B43" s="135"/>
      <c r="C43" s="111" t="s">
        <v>125</v>
      </c>
      <c r="D43" s="148">
        <v>9320917914</v>
      </c>
      <c r="E43" s="149" t="s">
        <v>126</v>
      </c>
      <c r="F43" s="151">
        <v>7183.11</v>
      </c>
    </row>
    <row r="44" spans="1:6" ht="23.25">
      <c r="A44" s="124">
        <v>1101030102</v>
      </c>
      <c r="B44" s="132" t="s">
        <v>153</v>
      </c>
      <c r="C44" s="111" t="s">
        <v>152</v>
      </c>
      <c r="D44" s="148">
        <v>65110073186</v>
      </c>
      <c r="E44" s="149" t="s">
        <v>154</v>
      </c>
      <c r="F44" s="151">
        <v>1732063.21</v>
      </c>
    </row>
    <row r="45" spans="1:6" ht="23.25">
      <c r="A45" s="132" t="s">
        <v>113</v>
      </c>
      <c r="B45" s="125" t="s">
        <v>114</v>
      </c>
      <c r="C45" s="111" t="s">
        <v>115</v>
      </c>
      <c r="D45" s="148">
        <v>65210028561</v>
      </c>
      <c r="E45" s="149" t="s">
        <v>116</v>
      </c>
      <c r="F45" s="151">
        <v>30000000</v>
      </c>
    </row>
    <row r="46" spans="1:6" ht="23.25">
      <c r="A46" s="132" t="s">
        <v>113</v>
      </c>
      <c r="B46" s="125" t="s">
        <v>118</v>
      </c>
      <c r="C46" s="111" t="s">
        <v>62</v>
      </c>
      <c r="D46" s="148">
        <v>300020091397</v>
      </c>
      <c r="E46" s="149" t="s">
        <v>117</v>
      </c>
      <c r="F46" s="151">
        <v>10419049.05</v>
      </c>
    </row>
    <row r="47" spans="1:8" ht="24" thickBot="1">
      <c r="A47" s="190"/>
      <c r="B47" s="292"/>
      <c r="C47" s="262"/>
      <c r="D47" s="293"/>
      <c r="E47" s="294"/>
      <c r="F47" s="157">
        <f>SUM(F3:F46)</f>
        <v>488500542.0500001</v>
      </c>
      <c r="G47" s="330">
        <f>SUM(G3:G46)</f>
        <v>0</v>
      </c>
      <c r="H47" s="330">
        <f>SUM(H3:H46)</f>
        <v>0</v>
      </c>
    </row>
    <row r="48" spans="1:5" ht="23.25">
      <c r="A48" s="295"/>
      <c r="B48" s="261"/>
      <c r="C48" s="261"/>
      <c r="D48" s="296"/>
      <c r="E48" s="297"/>
    </row>
    <row r="49" ht="23.25">
      <c r="D49" s="203"/>
    </row>
    <row r="50" ht="23.25">
      <c r="D50" s="203"/>
    </row>
    <row r="51" ht="23.25">
      <c r="D51" s="203"/>
    </row>
    <row r="52" ht="23.25">
      <c r="D52" s="203"/>
    </row>
    <row r="53" ht="23.25">
      <c r="D53" s="203"/>
    </row>
    <row r="54" ht="23.25">
      <c r="D54" s="203"/>
    </row>
    <row r="55" ht="23.25">
      <c r="D55" s="203"/>
    </row>
    <row r="56" ht="23.25">
      <c r="D56" s="203"/>
    </row>
  </sheetData>
  <sheetProtection/>
  <mergeCells count="7">
    <mergeCell ref="G1:H1"/>
    <mergeCell ref="A1:A2"/>
    <mergeCell ref="B1:B2"/>
    <mergeCell ref="C1:C2"/>
    <mergeCell ref="D1:D2"/>
    <mergeCell ref="E1:E2"/>
    <mergeCell ref="F1:F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0:E46">
      <formula1>6</formula1>
    </dataValidation>
  </dataValidations>
  <printOptions/>
  <pageMargins left="0.31496062992125984" right="0.31496062992125984" top="1.141732283464567" bottom="1.141732283464567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zoomScale="120" zoomScaleNormal="120" zoomScalePageLayoutView="0" workbookViewId="0" topLeftCell="E45">
      <selection activeCell="AQ18" sqref="AQ18:AQ56"/>
    </sheetView>
  </sheetViews>
  <sheetFormatPr defaultColWidth="9.140625" defaultRowHeight="12.75"/>
  <cols>
    <col min="1" max="1" width="13.28125" style="369" bestFit="1" customWidth="1"/>
    <col min="2" max="2" width="14.57421875" style="370" hidden="1" customWidth="1"/>
    <col min="3" max="3" width="51.8515625" style="370" customWidth="1"/>
    <col min="4" max="4" width="17.00390625" style="371" bestFit="1" customWidth="1"/>
    <col min="5" max="5" width="15.8515625" style="380" customWidth="1"/>
    <col min="6" max="6" width="18.421875" style="376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3" width="15.7109375" style="373" hidden="1" customWidth="1"/>
    <col min="24" max="24" width="13.7109375" style="373" hidden="1" customWidth="1"/>
    <col min="25" max="25" width="15.7109375" style="375" hidden="1" customWidth="1"/>
    <col min="26" max="37" width="15.7109375" style="373" hidden="1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241518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 hidden="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 hidden="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6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 hidden="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 hidden="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 hidden="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 hidden="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 hidden="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 hidden="1">
      <c r="A17" s="369">
        <v>1101030101</v>
      </c>
      <c r="B17" s="370" t="s">
        <v>14</v>
      </c>
      <c r="D17" s="379" t="s">
        <v>44</v>
      </c>
      <c r="E17" s="380" t="s">
        <v>49</v>
      </c>
      <c r="F17" s="377"/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377">
        <v>126300</v>
      </c>
      <c r="AL18" s="345">
        <f t="shared" si="0"/>
        <v>126300</v>
      </c>
      <c r="AN18" s="377">
        <v>126300</v>
      </c>
      <c r="AO18" s="381">
        <f>AN18-AL18</f>
        <v>0</v>
      </c>
      <c r="AQ18" s="357">
        <f>AL18+AO18</f>
        <v>126300</v>
      </c>
    </row>
    <row r="19" spans="5:43" ht="21">
      <c r="E19" s="372"/>
      <c r="F19" s="377">
        <v>0</v>
      </c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280">
        <v>0</v>
      </c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451">
        <v>96979048.79</v>
      </c>
      <c r="H21" s="373">
        <f>-2281631.7+1120627.21+409589</f>
        <v>-751415.4900000002</v>
      </c>
      <c r="I21" s="373">
        <f>124368+21630-406709.12+164644.31+7528</f>
        <v>-88538.81</v>
      </c>
      <c r="J21" s="373">
        <f>-109936.03-132747.66+162717</f>
        <v>-79966.69</v>
      </c>
      <c r="K21" s="373">
        <f>440041+22400-218485.05-84613.36+739941+113319</f>
        <v>1012602.5900000001</v>
      </c>
      <c r="O21" s="373">
        <f>15129+18302+1650+1600-86855.6+2274048.52+511574.5</f>
        <v>2735448.42</v>
      </c>
      <c r="P21" s="373">
        <f>7552+227423+94505+1230+9813+201666</f>
        <v>542189</v>
      </c>
      <c r="Q21" s="373">
        <f>9492-1002503.72-62411.21+178199+51031.13</f>
        <v>-826192.7999999999</v>
      </c>
      <c r="W21" s="373">
        <f>686408.7+64510+11480</f>
        <v>762398.7</v>
      </c>
      <c r="X21" s="374">
        <f>1006002+10080-(237543.46+4476881.18)</f>
        <v>-3698342.6399999997</v>
      </c>
      <c r="Y21" s="375">
        <f>208940.71+9080+30000</f>
        <v>248020.71</v>
      </c>
      <c r="Z21" s="373">
        <f>18936+17313-30+441303+57298</f>
        <v>534820</v>
      </c>
      <c r="AC21" s="373">
        <f>3000+401019</f>
        <v>404019</v>
      </c>
      <c r="AD21" s="373">
        <f>24523-1236356.26+1651393+140682</f>
        <v>580241.74</v>
      </c>
      <c r="AE21" s="373">
        <f>56260.2+128400+136299.13+20439-20000000</f>
        <v>-19658601.67</v>
      </c>
      <c r="AF21" s="373">
        <f>-12+231611.82</f>
        <v>231599.82</v>
      </c>
      <c r="AG21" s="375">
        <f>75301.35+75078.89+152550+147405+125400+2320-2812199.1+3526603+284545.46</f>
        <v>1577004.5999999996</v>
      </c>
      <c r="AJ21" s="373">
        <f>324616.12+104100.92</f>
        <v>428717.04</v>
      </c>
      <c r="AL21" s="345">
        <f t="shared" si="0"/>
        <v>80933052.31</v>
      </c>
      <c r="AN21" s="451">
        <v>127300473.57</v>
      </c>
      <c r="AO21" s="381">
        <f>AN21-AL21</f>
        <v>46367421.25999999</v>
      </c>
      <c r="AP21" s="369" t="s">
        <v>93</v>
      </c>
      <c r="AQ21" s="357">
        <f>AL21+AO21</f>
        <v>127300473.57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451">
        <v>637792.72</v>
      </c>
      <c r="H22" s="373"/>
      <c r="AL22" s="345">
        <f t="shared" si="0"/>
        <v>637792.72</v>
      </c>
      <c r="AN22" s="451">
        <v>637792.72</v>
      </c>
      <c r="AO22" s="381">
        <f aca="true" t="shared" si="1" ref="AO22:AO56">AN22-AL22</f>
        <v>0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451">
        <v>22613.95</v>
      </c>
      <c r="H23" s="373"/>
      <c r="AL23" s="345">
        <f t="shared" si="0"/>
        <v>22613.95</v>
      </c>
      <c r="AN23" s="451">
        <v>22613.95</v>
      </c>
      <c r="AO23" s="381">
        <f t="shared" si="1"/>
        <v>0</v>
      </c>
      <c r="AQ23" s="357">
        <f t="shared" si="2"/>
        <v>22613.95</v>
      </c>
      <c r="AR23" s="357">
        <f t="shared" si="3"/>
        <v>0</v>
      </c>
    </row>
    <row r="24" spans="1:44" s="470" customFormat="1" ht="21">
      <c r="A24" s="469">
        <v>1101030102</v>
      </c>
      <c r="B24" s="470" t="s">
        <v>15</v>
      </c>
      <c r="C24" s="471" t="s">
        <v>52</v>
      </c>
      <c r="D24" s="472">
        <v>9092199648</v>
      </c>
      <c r="E24" s="473" t="s">
        <v>8</v>
      </c>
      <c r="F24" s="474">
        <v>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4">
        <f t="shared" si="0"/>
        <v>0</v>
      </c>
      <c r="AM24" s="475"/>
      <c r="AN24" s="474">
        <v>0</v>
      </c>
      <c r="AO24" s="477">
        <f t="shared" si="1"/>
        <v>0</v>
      </c>
      <c r="AP24" s="469"/>
      <c r="AQ24" s="478">
        <f t="shared" si="2"/>
        <v>0</v>
      </c>
      <c r="AR24" s="478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451">
        <v>541097.75</v>
      </c>
      <c r="H25" s="373"/>
      <c r="AL25" s="345">
        <f t="shared" si="0"/>
        <v>541097.75</v>
      </c>
      <c r="AN25" s="451">
        <v>541097.75</v>
      </c>
      <c r="AO25" s="381">
        <f t="shared" si="1"/>
        <v>0</v>
      </c>
      <c r="AQ25" s="357">
        <f t="shared" si="2"/>
        <v>541097.75</v>
      </c>
      <c r="AR25" s="357">
        <f t="shared" si="3"/>
        <v>0</v>
      </c>
    </row>
    <row r="26" spans="1:44" s="470" customFormat="1" ht="21">
      <c r="A26" s="469">
        <v>1101030102</v>
      </c>
      <c r="B26" s="470" t="s">
        <v>2</v>
      </c>
      <c r="C26" s="471" t="s">
        <v>53</v>
      </c>
      <c r="D26" s="472">
        <v>9321151400</v>
      </c>
      <c r="E26" s="473" t="s">
        <v>17</v>
      </c>
      <c r="F26" s="474"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4">
        <f t="shared" si="0"/>
        <v>0</v>
      </c>
      <c r="AM26" s="475"/>
      <c r="AN26" s="474">
        <v>0</v>
      </c>
      <c r="AO26" s="477">
        <f t="shared" si="1"/>
        <v>0</v>
      </c>
      <c r="AP26" s="469"/>
      <c r="AQ26" s="478">
        <f t="shared" si="2"/>
        <v>0</v>
      </c>
      <c r="AR26" s="478">
        <f t="shared" si="3"/>
        <v>0</v>
      </c>
    </row>
    <row r="27" spans="1:44" s="470" customFormat="1" ht="21">
      <c r="A27" s="469">
        <v>1101030102</v>
      </c>
      <c r="B27" s="470" t="s">
        <v>2</v>
      </c>
      <c r="C27" s="471" t="s">
        <v>54</v>
      </c>
      <c r="D27" s="472">
        <v>9321484736</v>
      </c>
      <c r="E27" s="473" t="s">
        <v>19</v>
      </c>
      <c r="F27" s="474"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4">
        <f t="shared" si="0"/>
        <v>0</v>
      </c>
      <c r="AM27" s="475"/>
      <c r="AN27" s="474"/>
      <c r="AO27" s="477">
        <f t="shared" si="1"/>
        <v>0</v>
      </c>
      <c r="AP27" s="469"/>
      <c r="AQ27" s="478">
        <f t="shared" si="2"/>
        <v>0</v>
      </c>
      <c r="AR27" s="478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451">
        <v>41996.78</v>
      </c>
      <c r="H28" s="373"/>
      <c r="AL28" s="345">
        <f t="shared" si="0"/>
        <v>41996.78</v>
      </c>
      <c r="AN28" s="451">
        <v>41996.78</v>
      </c>
      <c r="AO28" s="381">
        <f t="shared" si="1"/>
        <v>0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451">
        <v>3921.26</v>
      </c>
      <c r="H29" s="373"/>
      <c r="AL29" s="345">
        <f t="shared" si="0"/>
        <v>3921.26</v>
      </c>
      <c r="AN29" s="451">
        <v>3921.26</v>
      </c>
      <c r="AO29" s="381">
        <f t="shared" si="1"/>
        <v>0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451">
        <v>4395.38</v>
      </c>
      <c r="H30" s="373"/>
      <c r="AL30" s="345">
        <f t="shared" si="0"/>
        <v>4395.38</v>
      </c>
      <c r="AN30" s="451">
        <v>4395.38</v>
      </c>
      <c r="AO30" s="381">
        <f t="shared" si="1"/>
        <v>0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451">
        <v>101262.75</v>
      </c>
      <c r="H31" s="373"/>
      <c r="AL31" s="345">
        <f t="shared" si="0"/>
        <v>101262.75</v>
      </c>
      <c r="AN31" s="451">
        <v>101262.75</v>
      </c>
      <c r="AO31" s="381">
        <f t="shared" si="1"/>
        <v>0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451">
        <v>0</v>
      </c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451">
        <v>10956332.49</v>
      </c>
      <c r="H33" s="373"/>
      <c r="O33" s="373">
        <f>-5715624.98</f>
        <v>-5715624.98</v>
      </c>
      <c r="Q33" s="373">
        <v>9258.42</v>
      </c>
      <c r="Z33" s="373">
        <f>-6</f>
        <v>-6</v>
      </c>
      <c r="AL33" s="345">
        <f t="shared" si="0"/>
        <v>5249959.93</v>
      </c>
      <c r="AN33" s="451">
        <v>6781487.78</v>
      </c>
      <c r="AO33" s="381">
        <f t="shared" si="1"/>
        <v>1531527.8500000006</v>
      </c>
      <c r="AP33" s="369" t="s">
        <v>93</v>
      </c>
      <c r="AQ33" s="357">
        <f t="shared" si="2"/>
        <v>6781487.78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451">
        <v>0</v>
      </c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452">
        <v>281548369.24</v>
      </c>
      <c r="H35" s="373">
        <f>-7044649.33</f>
        <v>-7044649.33</v>
      </c>
      <c r="O35" s="373">
        <f>-731251.4</f>
        <v>-731251.4</v>
      </c>
      <c r="Y35" s="375">
        <f>124830+99959</f>
        <v>224789</v>
      </c>
      <c r="AL35" s="345">
        <f t="shared" si="0"/>
        <v>273997257.51</v>
      </c>
      <c r="AN35" s="451">
        <v>246040500.17</v>
      </c>
      <c r="AO35" s="405">
        <f t="shared" si="1"/>
        <v>-27956757.340000004</v>
      </c>
      <c r="AP35" s="369" t="s">
        <v>92</v>
      </c>
      <c r="AQ35" s="357">
        <f t="shared" si="2"/>
        <v>246040500.17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451">
        <v>11728342.78</v>
      </c>
      <c r="H36" s="373"/>
      <c r="W36" s="373">
        <v>1700</v>
      </c>
      <c r="X36" s="373">
        <f>9000</f>
        <v>9000</v>
      </c>
      <c r="AJ36" s="373">
        <f>83160</f>
        <v>83160</v>
      </c>
      <c r="AL36" s="345">
        <f t="shared" si="0"/>
        <v>11822202.78</v>
      </c>
      <c r="AN36" s="451">
        <v>11011884.14</v>
      </c>
      <c r="AO36" s="381">
        <f t="shared" si="1"/>
        <v>-810318.6399999987</v>
      </c>
      <c r="AP36" s="369" t="s">
        <v>92</v>
      </c>
      <c r="AQ36" s="357">
        <f t="shared" si="2"/>
        <v>11011884.14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451">
        <v>44513634.81</v>
      </c>
      <c r="H37" s="373"/>
      <c r="O37" s="373">
        <f>2101678.16</f>
        <v>2101678.16</v>
      </c>
      <c r="AL37" s="345">
        <f t="shared" si="0"/>
        <v>46615312.97</v>
      </c>
      <c r="AN37" s="451">
        <v>46007640.68</v>
      </c>
      <c r="AO37" s="381">
        <f t="shared" si="1"/>
        <v>-607672.2899999991</v>
      </c>
      <c r="AP37" s="369" t="s">
        <v>92</v>
      </c>
      <c r="AQ37" s="357">
        <f t="shared" si="2"/>
        <v>46007640.68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451">
        <v>11909643</v>
      </c>
      <c r="H38" s="373"/>
      <c r="AL38" s="345">
        <f t="shared" si="0"/>
        <v>11909643</v>
      </c>
      <c r="AN38" s="451">
        <v>11799643</v>
      </c>
      <c r="AO38" s="381">
        <f t="shared" si="1"/>
        <v>-110000</v>
      </c>
      <c r="AP38" s="369" t="s">
        <v>92</v>
      </c>
      <c r="AQ38" s="357">
        <f t="shared" si="2"/>
        <v>11799643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451">
        <v>10914280.85</v>
      </c>
      <c r="H39" s="373"/>
      <c r="AL39" s="345">
        <f t="shared" si="0"/>
        <v>10914280.85</v>
      </c>
      <c r="AN39" s="451">
        <v>10914280.85</v>
      </c>
      <c r="AO39" s="381">
        <f t="shared" si="1"/>
        <v>0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451">
        <v>6482045.97</v>
      </c>
      <c r="H40" s="373">
        <f>-13690+35000</f>
        <v>21310</v>
      </c>
      <c r="J40" s="373">
        <v>2200</v>
      </c>
      <c r="K40" s="373">
        <v>2365</v>
      </c>
      <c r="O40" s="373">
        <f>2230</f>
        <v>2230</v>
      </c>
      <c r="P40" s="373">
        <v>2365</v>
      </c>
      <c r="W40" s="373">
        <v>365</v>
      </c>
      <c r="X40" s="373">
        <f>365</f>
        <v>365</v>
      </c>
      <c r="Z40" s="373">
        <v>1365</v>
      </c>
      <c r="AC40" s="373">
        <f>2085+1460</f>
        <v>3545</v>
      </c>
      <c r="AD40" s="373">
        <v>1000</v>
      </c>
      <c r="AF40" s="373">
        <f>2365</f>
        <v>2365</v>
      </c>
      <c r="AG40" s="373">
        <v>3200</v>
      </c>
      <c r="AJ40" s="373">
        <v>3295</v>
      </c>
      <c r="AL40" s="345">
        <f t="shared" si="0"/>
        <v>6528015.97</v>
      </c>
      <c r="AN40" s="451">
        <v>6146405.97</v>
      </c>
      <c r="AO40" s="381">
        <f t="shared" si="1"/>
        <v>-381610</v>
      </c>
      <c r="AP40" s="369" t="s">
        <v>92</v>
      </c>
      <c r="AQ40" s="357">
        <f t="shared" si="2"/>
        <v>6146405.97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451">
        <v>572223.25</v>
      </c>
      <c r="H41" s="373"/>
      <c r="AL41" s="345">
        <f t="shared" si="0"/>
        <v>572223.25</v>
      </c>
      <c r="AN41" s="451">
        <v>572223.25</v>
      </c>
      <c r="AO41" s="381">
        <f t="shared" si="1"/>
        <v>0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451">
        <v>0</v>
      </c>
      <c r="H42" s="373"/>
      <c r="AL42" s="345">
        <f t="shared" si="0"/>
        <v>0</v>
      </c>
      <c r="AN42" s="451"/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451">
        <v>1786418.74</v>
      </c>
      <c r="H43" s="373"/>
      <c r="AL43" s="345">
        <f t="shared" si="0"/>
        <v>1786418.74</v>
      </c>
      <c r="AN43" s="451">
        <v>1786418.74</v>
      </c>
      <c r="AO43" s="381">
        <f t="shared" si="1"/>
        <v>0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451">
        <v>26742.71</v>
      </c>
      <c r="H44" s="373"/>
      <c r="AL44" s="345">
        <f t="shared" si="0"/>
        <v>26742.71</v>
      </c>
      <c r="AN44" s="451">
        <v>26742.71</v>
      </c>
      <c r="AO44" s="381">
        <f t="shared" si="1"/>
        <v>0</v>
      </c>
      <c r="AQ44" s="357">
        <f t="shared" si="2"/>
        <v>26742.71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451">
        <v>369076.97</v>
      </c>
      <c r="H45" s="373"/>
      <c r="AL45" s="345">
        <f t="shared" si="0"/>
        <v>369076.97</v>
      </c>
      <c r="AN45" s="451">
        <v>369076.97</v>
      </c>
      <c r="AO45" s="381">
        <f t="shared" si="1"/>
        <v>0</v>
      </c>
      <c r="AQ45" s="357">
        <f t="shared" si="2"/>
        <v>369076.97</v>
      </c>
      <c r="AR45" s="357">
        <f t="shared" si="3"/>
        <v>0</v>
      </c>
    </row>
    <row r="46" spans="1:44" s="470" customFormat="1" ht="21">
      <c r="A46" s="469">
        <v>1101030102</v>
      </c>
      <c r="B46" s="470" t="s">
        <v>13</v>
      </c>
      <c r="C46" s="471" t="s">
        <v>68</v>
      </c>
      <c r="D46" s="472">
        <v>5081084530</v>
      </c>
      <c r="E46" s="473" t="s">
        <v>84</v>
      </c>
      <c r="F46" s="474">
        <v>0</v>
      </c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4">
        <f t="shared" si="0"/>
        <v>0</v>
      </c>
      <c r="AM46" s="475"/>
      <c r="AN46" s="474">
        <v>0</v>
      </c>
      <c r="AO46" s="477">
        <f t="shared" si="1"/>
        <v>0</v>
      </c>
      <c r="AP46" s="469"/>
      <c r="AQ46" s="478">
        <f t="shared" si="2"/>
        <v>0</v>
      </c>
      <c r="AR46" s="478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451">
        <v>26033901.71</v>
      </c>
      <c r="H47" s="373"/>
      <c r="AE47" s="373">
        <v>2034</v>
      </c>
      <c r="AL47" s="345">
        <f t="shared" si="0"/>
        <v>26035935.71</v>
      </c>
      <c r="AN47" s="451">
        <v>25494942.72</v>
      </c>
      <c r="AO47" s="381">
        <f t="shared" si="1"/>
        <v>-540992.9900000021</v>
      </c>
      <c r="AP47" s="369" t="s">
        <v>92</v>
      </c>
      <c r="AQ47" s="357">
        <f t="shared" si="2"/>
        <v>25494942.72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451">
        <v>84922.26</v>
      </c>
      <c r="H48" s="373"/>
      <c r="AL48" s="345">
        <f t="shared" si="0"/>
        <v>84922.26</v>
      </c>
      <c r="AN48" s="451">
        <v>84922.26</v>
      </c>
      <c r="AO48" s="381">
        <f t="shared" si="1"/>
        <v>0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451">
        <v>7313143.88</v>
      </c>
      <c r="H49" s="373"/>
      <c r="O49" s="373">
        <f>480020.98</f>
        <v>480020.98</v>
      </c>
      <c r="AL49" s="345">
        <f t="shared" si="0"/>
        <v>7793164.859999999</v>
      </c>
      <c r="AN49" s="451">
        <v>7793164.86</v>
      </c>
      <c r="AO49" s="381">
        <f t="shared" si="1"/>
        <v>0</v>
      </c>
      <c r="AQ49" s="357">
        <f t="shared" si="2"/>
        <v>7793164.859999999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451">
        <v>13479595.53</v>
      </c>
      <c r="H50" s="373"/>
      <c r="I50" s="373">
        <f>1100</f>
        <v>1100</v>
      </c>
      <c r="O50" s="373">
        <v>1300</v>
      </c>
      <c r="P50" s="373">
        <v>4000</v>
      </c>
      <c r="Q50" s="373">
        <v>21123</v>
      </c>
      <c r="X50" s="373">
        <f>500</f>
        <v>500</v>
      </c>
      <c r="AD50" s="373">
        <f>10000</f>
        <v>10000</v>
      </c>
      <c r="AE50" s="373">
        <f>10000</f>
        <v>10000</v>
      </c>
      <c r="AF50" s="373">
        <f>10000</f>
        <v>10000</v>
      </c>
      <c r="AL50" s="345">
        <f t="shared" si="0"/>
        <v>13537618.53</v>
      </c>
      <c r="AN50" s="451">
        <v>13540618.53</v>
      </c>
      <c r="AO50" s="381">
        <f t="shared" si="1"/>
        <v>3000</v>
      </c>
      <c r="AP50" s="369" t="s">
        <v>93</v>
      </c>
      <c r="AQ50" s="357">
        <f t="shared" si="2"/>
        <v>13540618.53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451">
        <v>43646905.7</v>
      </c>
      <c r="H51" s="373"/>
      <c r="AL51" s="345">
        <f t="shared" si="0"/>
        <v>43646905.7</v>
      </c>
      <c r="AN51" s="451">
        <v>43646905.7</v>
      </c>
      <c r="AO51" s="381">
        <f t="shared" si="1"/>
        <v>0</v>
      </c>
      <c r="AQ51" s="357">
        <f t="shared" si="2"/>
        <v>43646905.7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451">
        <v>77272.31</v>
      </c>
      <c r="H52" s="373"/>
      <c r="AL52" s="345">
        <f t="shared" si="0"/>
        <v>77272.31</v>
      </c>
      <c r="AN52" s="451">
        <v>77272.31</v>
      </c>
      <c r="AO52" s="381">
        <f t="shared" si="1"/>
        <v>0</v>
      </c>
      <c r="AQ52" s="357">
        <f t="shared" si="2"/>
        <v>77272.31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451">
        <v>2021437.91</v>
      </c>
      <c r="H53" s="373"/>
      <c r="AL53" s="345">
        <f t="shared" si="0"/>
        <v>2021437.91</v>
      </c>
      <c r="AN53" s="451">
        <v>2063479.01</v>
      </c>
      <c r="AO53" s="381">
        <f t="shared" si="1"/>
        <v>42041.10000000009</v>
      </c>
      <c r="AP53" s="369" t="s">
        <v>93</v>
      </c>
      <c r="AQ53" s="357">
        <f t="shared" si="2"/>
        <v>2063479.01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465">
        <v>249463.31</v>
      </c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345">
        <f t="shared" si="0"/>
        <v>249463.31</v>
      </c>
      <c r="AM54" s="464"/>
      <c r="AN54" s="465">
        <v>249463.31</v>
      </c>
      <c r="AO54" s="381">
        <f t="shared" si="1"/>
        <v>0</v>
      </c>
      <c r="AP54" s="456"/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451">
        <v>30000000</v>
      </c>
      <c r="H55" s="373"/>
      <c r="AL55" s="345">
        <f t="shared" si="0"/>
        <v>30000000</v>
      </c>
      <c r="AN55" s="451"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53">
        <v>10533644.86</v>
      </c>
      <c r="H56" s="373"/>
      <c r="AL56" s="345">
        <f t="shared" si="0"/>
        <v>10533644.86</v>
      </c>
      <c r="AM56" s="412"/>
      <c r="AN56" s="453">
        <v>10533644.86</v>
      </c>
      <c r="AO56" s="415">
        <f t="shared" si="1"/>
        <v>0</v>
      </c>
      <c r="AP56" s="416"/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612705827.6599998</v>
      </c>
      <c r="G57" s="421">
        <f aca="true" t="shared" si="4" ref="G57:AL57">SUM(G3:G56)</f>
        <v>0</v>
      </c>
      <c r="H57" s="421">
        <f t="shared" si="4"/>
        <v>-7774754.82</v>
      </c>
      <c r="I57" s="421">
        <f t="shared" si="4"/>
        <v>-87438.81</v>
      </c>
      <c r="J57" s="421">
        <f t="shared" si="4"/>
        <v>-77766.69</v>
      </c>
      <c r="K57" s="421">
        <f t="shared" si="4"/>
        <v>1014967.5900000001</v>
      </c>
      <c r="L57" s="421">
        <f t="shared" si="4"/>
        <v>0</v>
      </c>
      <c r="M57" s="421">
        <f t="shared" si="4"/>
        <v>0</v>
      </c>
      <c r="N57" s="421">
        <f t="shared" si="4"/>
        <v>0</v>
      </c>
      <c r="O57" s="421">
        <f t="shared" si="4"/>
        <v>-1126198.8200000003</v>
      </c>
      <c r="P57" s="421">
        <f t="shared" si="4"/>
        <v>548554</v>
      </c>
      <c r="Q57" s="421">
        <f t="shared" si="4"/>
        <v>-795811.3799999999</v>
      </c>
      <c r="R57" s="421">
        <f t="shared" si="4"/>
        <v>0</v>
      </c>
      <c r="S57" s="421">
        <f t="shared" si="4"/>
        <v>0</v>
      </c>
      <c r="T57" s="421">
        <f t="shared" si="4"/>
        <v>0</v>
      </c>
      <c r="U57" s="421">
        <f t="shared" si="4"/>
        <v>0</v>
      </c>
      <c r="V57" s="421">
        <f t="shared" si="4"/>
        <v>0</v>
      </c>
      <c r="W57" s="421">
        <f t="shared" si="4"/>
        <v>764463.7</v>
      </c>
      <c r="X57" s="421">
        <f t="shared" si="4"/>
        <v>-3688477.6399999997</v>
      </c>
      <c r="Y57" s="422">
        <f t="shared" si="4"/>
        <v>472809.70999999996</v>
      </c>
      <c r="Z57" s="421">
        <f t="shared" si="4"/>
        <v>536179</v>
      </c>
      <c r="AA57" s="421">
        <f t="shared" si="4"/>
        <v>0</v>
      </c>
      <c r="AB57" s="421">
        <f t="shared" si="4"/>
        <v>0</v>
      </c>
      <c r="AC57" s="421">
        <f t="shared" si="4"/>
        <v>407564</v>
      </c>
      <c r="AD57" s="421">
        <f t="shared" si="4"/>
        <v>591241.74</v>
      </c>
      <c r="AE57" s="421">
        <f t="shared" si="4"/>
        <v>-19646567.67</v>
      </c>
      <c r="AF57" s="421">
        <f t="shared" si="4"/>
        <v>243964.82</v>
      </c>
      <c r="AG57" s="421">
        <f t="shared" si="4"/>
        <v>1580204.5999999996</v>
      </c>
      <c r="AH57" s="421">
        <f t="shared" si="4"/>
        <v>0</v>
      </c>
      <c r="AI57" s="421">
        <f t="shared" si="4"/>
        <v>0</v>
      </c>
      <c r="AJ57" s="421">
        <f t="shared" si="4"/>
        <v>515172.04</v>
      </c>
      <c r="AK57" s="421">
        <f t="shared" si="4"/>
        <v>0</v>
      </c>
      <c r="AL57" s="423">
        <f t="shared" si="4"/>
        <v>586183933.03</v>
      </c>
      <c r="AM57" s="424"/>
      <c r="AN57" s="425">
        <f>SUM(AN3:AN56)</f>
        <v>603720571.98</v>
      </c>
      <c r="AO57" s="491">
        <f>SUM(AO3:AO56)</f>
        <v>17536638.949999988</v>
      </c>
      <c r="AP57" s="427"/>
      <c r="AQ57" s="428">
        <f t="shared" si="2"/>
        <v>603720571.98</v>
      </c>
      <c r="AR57" s="357">
        <f t="shared" si="3"/>
        <v>0</v>
      </c>
    </row>
    <row r="58" spans="1:44" ht="21.75" thickBot="1">
      <c r="A58" s="479"/>
      <c r="B58" s="480"/>
      <c r="C58" s="481"/>
      <c r="D58" s="482"/>
      <c r="E58" s="483"/>
      <c r="F58" s="484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2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85"/>
      <c r="AM58" s="486"/>
      <c r="AN58" s="487"/>
      <c r="AO58" s="487"/>
      <c r="AP58" s="488"/>
      <c r="AQ58" s="428"/>
      <c r="AR58" s="357"/>
    </row>
    <row r="59" spans="1:45" s="438" customFormat="1" ht="21">
      <c r="A59" s="511" t="s">
        <v>145</v>
      </c>
      <c r="B59" s="512"/>
      <c r="C59" s="513"/>
      <c r="D59" s="429">
        <f>AO21+AO33+AO50+AO53</f>
        <v>47943990.20999999</v>
      </c>
      <c r="E59" s="430"/>
      <c r="F59" s="431"/>
      <c r="G59" s="432">
        <f>F57+G57</f>
        <v>612705827.6599998</v>
      </c>
      <c r="H59" s="433">
        <f aca="true" t="shared" si="5" ref="H59:AK59">G59+H57</f>
        <v>604931072.8399998</v>
      </c>
      <c r="I59" s="433">
        <f t="shared" si="5"/>
        <v>604843634.0299999</v>
      </c>
      <c r="J59" s="433">
        <f t="shared" si="5"/>
        <v>604765867.3399998</v>
      </c>
      <c r="K59" s="433">
        <f t="shared" si="5"/>
        <v>605780834.9299998</v>
      </c>
      <c r="L59" s="433">
        <f t="shared" si="5"/>
        <v>605780834.9299998</v>
      </c>
      <c r="M59" s="433">
        <f t="shared" si="5"/>
        <v>605780834.9299998</v>
      </c>
      <c r="N59" s="433">
        <f t="shared" si="5"/>
        <v>605780834.9299998</v>
      </c>
      <c r="O59" s="433">
        <f t="shared" si="5"/>
        <v>604654636.1099998</v>
      </c>
      <c r="P59" s="433">
        <f t="shared" si="5"/>
        <v>605203190.1099998</v>
      </c>
      <c r="Q59" s="433">
        <f t="shared" si="5"/>
        <v>604407378.7299998</v>
      </c>
      <c r="R59" s="433">
        <f t="shared" si="5"/>
        <v>604407378.7299998</v>
      </c>
      <c r="S59" s="433">
        <f t="shared" si="5"/>
        <v>604407378.7299998</v>
      </c>
      <c r="T59" s="433">
        <f t="shared" si="5"/>
        <v>604407378.7299998</v>
      </c>
      <c r="U59" s="433">
        <f t="shared" si="5"/>
        <v>604407378.7299998</v>
      </c>
      <c r="V59" s="433">
        <f t="shared" si="5"/>
        <v>604407378.7299998</v>
      </c>
      <c r="W59" s="433">
        <f t="shared" si="5"/>
        <v>605171842.4299998</v>
      </c>
      <c r="X59" s="433">
        <f t="shared" si="5"/>
        <v>601483364.7899998</v>
      </c>
      <c r="Y59" s="433">
        <f t="shared" si="5"/>
        <v>601956174.4999999</v>
      </c>
      <c r="Z59" s="433">
        <f t="shared" si="5"/>
        <v>602492353.4999999</v>
      </c>
      <c r="AA59" s="433">
        <f t="shared" si="5"/>
        <v>602492353.4999999</v>
      </c>
      <c r="AB59" s="433">
        <f t="shared" si="5"/>
        <v>602492353.4999999</v>
      </c>
      <c r="AC59" s="433">
        <f t="shared" si="5"/>
        <v>602899917.4999999</v>
      </c>
      <c r="AD59" s="433">
        <f t="shared" si="5"/>
        <v>603491159.2399999</v>
      </c>
      <c r="AE59" s="433">
        <f>AD59+AE57</f>
        <v>583844591.5699999</v>
      </c>
      <c r="AF59" s="433">
        <f t="shared" si="5"/>
        <v>584088556.39</v>
      </c>
      <c r="AG59" s="433">
        <f t="shared" si="5"/>
        <v>585668760.99</v>
      </c>
      <c r="AH59" s="433">
        <f t="shared" si="5"/>
        <v>585668760.99</v>
      </c>
      <c r="AI59" s="433">
        <f t="shared" si="5"/>
        <v>585668760.99</v>
      </c>
      <c r="AJ59" s="433">
        <f t="shared" si="5"/>
        <v>586183933.03</v>
      </c>
      <c r="AK59" s="433">
        <f t="shared" si="5"/>
        <v>586183933.03</v>
      </c>
      <c r="AL59" s="433"/>
      <c r="AM59" s="434"/>
      <c r="AN59" s="435"/>
      <c r="AO59" s="436"/>
      <c r="AP59" s="437"/>
      <c r="AS59" s="434" t="s">
        <v>131</v>
      </c>
    </row>
    <row r="60" spans="1:45" ht="21">
      <c r="A60" s="514" t="s">
        <v>140</v>
      </c>
      <c r="B60" s="515"/>
      <c r="C60" s="516"/>
      <c r="D60" s="281">
        <v>0</v>
      </c>
      <c r="E60" s="300"/>
      <c r="F60" s="290"/>
      <c r="G60" s="439"/>
      <c r="I60" s="374"/>
      <c r="J60" s="374"/>
      <c r="AS60" s="376" t="s">
        <v>132</v>
      </c>
    </row>
    <row r="61" spans="1:43" ht="21">
      <c r="A61" s="301"/>
      <c r="B61" s="282"/>
      <c r="C61" s="280" t="s">
        <v>138</v>
      </c>
      <c r="D61" s="283"/>
      <c r="E61" s="302">
        <f>D59+D60</f>
        <v>47943990.20999999</v>
      </c>
      <c r="F61" s="290"/>
      <c r="G61" s="439"/>
      <c r="L61" s="373">
        <f>623296167.92-L59</f>
        <v>17515332.99000013</v>
      </c>
      <c r="N61" s="373">
        <f>624073238.21</f>
        <v>624073238.21</v>
      </c>
      <c r="X61" s="373">
        <f>601483364.79</f>
        <v>601483364.79</v>
      </c>
      <c r="AQ61" s="357">
        <f>D59+D63</f>
        <v>17536638.949999988</v>
      </c>
    </row>
    <row r="62" spans="1:38" ht="21.75" thickBot="1">
      <c r="A62" s="303"/>
      <c r="B62" s="282"/>
      <c r="C62" s="284"/>
      <c r="D62" s="285"/>
      <c r="E62" s="304"/>
      <c r="F62" s="290"/>
      <c r="G62" s="441"/>
      <c r="N62" s="373">
        <f>N61-N59</f>
        <v>18292403.28000021</v>
      </c>
      <c r="X62" s="373">
        <f>X59-X61</f>
        <v>0</v>
      </c>
      <c r="AB62" s="373">
        <f>603805617.73</f>
        <v>603805617.73</v>
      </c>
      <c r="AE62" s="373">
        <f>583844591.57</f>
        <v>583844591.57</v>
      </c>
      <c r="AF62" s="373">
        <f>584088556.39</f>
        <v>584088556.39</v>
      </c>
      <c r="AL62" s="442"/>
    </row>
    <row r="63" spans="1:43" ht="21.75" thickBot="1">
      <c r="A63" s="517" t="s">
        <v>146</v>
      </c>
      <c r="B63" s="518"/>
      <c r="C63" s="519"/>
      <c r="D63" s="281">
        <f>E65</f>
        <v>-30407351.260000005</v>
      </c>
      <c r="E63" s="304"/>
      <c r="F63" s="290" t="s">
        <v>144</v>
      </c>
      <c r="G63" s="441"/>
      <c r="AB63" s="373">
        <f>AB59-AB62</f>
        <v>-1313264.2300001383</v>
      </c>
      <c r="AE63" s="373">
        <f>AE59-AE62</f>
        <v>0</v>
      </c>
      <c r="AF63" s="373">
        <f>AF59-AF62</f>
        <v>0</v>
      </c>
      <c r="AK63" s="443"/>
      <c r="AL63" s="444">
        <f>E61+D63</f>
        <v>17536638.949999988</v>
      </c>
      <c r="AM63" s="291"/>
      <c r="AQ63" s="357"/>
    </row>
    <row r="64" spans="1:43" ht="21">
      <c r="A64" s="301"/>
      <c r="B64" s="286"/>
      <c r="C64" s="287" t="s">
        <v>141</v>
      </c>
      <c r="D64" s="280"/>
      <c r="E64" s="305">
        <v>0</v>
      </c>
      <c r="F64" s="290"/>
      <c r="G64" s="441"/>
      <c r="AL64" s="445"/>
      <c r="AN64" s="468"/>
      <c r="AO64" s="378" t="s">
        <v>80</v>
      </c>
      <c r="AQ64" s="357">
        <f>AQ63+AN63</f>
        <v>0</v>
      </c>
    </row>
    <row r="65" spans="1:6" ht="21">
      <c r="A65" s="303"/>
      <c r="B65" s="282"/>
      <c r="C65" s="288" t="s">
        <v>139</v>
      </c>
      <c r="D65" s="289"/>
      <c r="E65" s="492">
        <f>AO35+AO36+AO37+AO38+AO40+AO47</f>
        <v>-30407351.260000005</v>
      </c>
      <c r="F65" s="291"/>
    </row>
    <row r="66" spans="1:5" ht="21">
      <c r="A66" s="446"/>
      <c r="B66" s="447"/>
      <c r="C66" s="447"/>
      <c r="D66" s="448"/>
      <c r="E66" s="449"/>
    </row>
    <row r="67" ht="21">
      <c r="D67" s="450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</sheetData>
  <sheetProtection/>
  <mergeCells count="10">
    <mergeCell ref="A59:C59"/>
    <mergeCell ref="A60:C60"/>
    <mergeCell ref="A63:C63"/>
    <mergeCell ref="G1:AK1"/>
    <mergeCell ref="E1:E2"/>
    <mergeCell ref="F1:F2"/>
    <mergeCell ref="A1:A2"/>
    <mergeCell ref="B1:B2"/>
    <mergeCell ref="C1:C2"/>
    <mergeCell ref="D1:D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" right="0" top="0.4330708661417323" bottom="0.07874015748031496" header="0.11811023622047245" footer="0.2755905511811024"/>
  <pageSetup horizontalDpi="600" verticalDpi="600" orientation="landscape" paperSize="9" scale="85" r:id="rId3"/>
  <headerFooter alignWithMargins="0">
    <oddHeader>&amp;CPage &amp;P of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4"/>
  <sheetViews>
    <sheetView tabSelected="1" zoomScale="110" zoomScaleNormal="110" zoomScaleSheetLayoutView="100" zoomScalePageLayoutView="0" workbookViewId="0" topLeftCell="A1">
      <pane xSplit="13410" ySplit="2370" topLeftCell="J34" activePane="bottomRight" state="split"/>
      <selection pane="topLeft" activeCell="C1" sqref="C1:C2"/>
      <selection pane="topRight" activeCell="E1" sqref="E1"/>
      <selection pane="bottomLeft" activeCell="C18" sqref="C18"/>
      <selection pane="bottomRight" activeCell="J40" sqref="J40"/>
    </sheetView>
  </sheetViews>
  <sheetFormatPr defaultColWidth="9.140625" defaultRowHeight="12.75"/>
  <cols>
    <col min="1" max="1" width="13.28125" style="369" bestFit="1" customWidth="1"/>
    <col min="2" max="2" width="14.57421875" style="370" customWidth="1"/>
    <col min="3" max="3" width="51.8515625" style="370" customWidth="1"/>
    <col min="4" max="4" width="17.00390625" style="371" bestFit="1" customWidth="1"/>
    <col min="5" max="5" width="15.8515625" style="380" customWidth="1"/>
    <col min="6" max="6" width="18.421875" style="376" customWidth="1"/>
    <col min="7" max="7" width="15.7109375" style="373" customWidth="1"/>
    <col min="8" max="8" width="15.7109375" style="374" customWidth="1"/>
    <col min="9" max="9" width="15.7109375" style="373" customWidth="1"/>
    <col min="10" max="10" width="16.00390625" style="373" customWidth="1"/>
    <col min="11" max="12" width="15.7109375" style="373" hidden="1" customWidth="1"/>
    <col min="13" max="13" width="15.7109375" style="373" customWidth="1"/>
    <col min="14" max="14" width="17.421875" style="373" customWidth="1"/>
    <col min="15" max="17" width="15.7109375" style="373" customWidth="1"/>
    <col min="18" max="20" width="15.7109375" style="373" hidden="1" customWidth="1"/>
    <col min="21" max="23" width="15.7109375" style="373" customWidth="1"/>
    <col min="24" max="24" width="13.7109375" style="373" customWidth="1"/>
    <col min="25" max="25" width="15.7109375" style="375" hidden="1" customWidth="1"/>
    <col min="26" max="26" width="15.7109375" style="373" hidden="1" customWidth="1"/>
    <col min="27" max="31" width="15.7109375" style="373" customWidth="1"/>
    <col min="32" max="33" width="15.7109375" style="373" hidden="1" customWidth="1"/>
    <col min="34" max="34" width="15.7109375" style="373" customWidth="1"/>
    <col min="35" max="35" width="15.7109375" style="373" hidden="1" customWidth="1"/>
    <col min="36" max="37" width="15.7109375" style="373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241548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>
      <c r="A3" s="349" t="s">
        <v>31</v>
      </c>
      <c r="B3" s="349" t="s">
        <v>41</v>
      </c>
      <c r="D3" s="355" t="s">
        <v>31</v>
      </c>
      <c r="E3" s="356"/>
      <c r="F3" s="454">
        <f>'พย.60'!AN3</f>
        <v>0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>
      <c r="A4" s="360">
        <v>1101010101</v>
      </c>
      <c r="B4" s="361" t="s">
        <v>31</v>
      </c>
      <c r="C4" s="361"/>
      <c r="D4" s="362"/>
      <c r="E4" s="363"/>
      <c r="F4" s="454">
        <f>'พย.60'!AN4</f>
        <v>0</v>
      </c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6">(F4)+SUM(G4:AK4)</f>
        <v>0</v>
      </c>
      <c r="AM4" s="366"/>
      <c r="AN4" s="367"/>
      <c r="AO4" s="348"/>
    </row>
    <row r="5" spans="2:41" s="360" customFormat="1" ht="21">
      <c r="B5" s="361" t="s">
        <v>32</v>
      </c>
      <c r="C5" s="361"/>
      <c r="D5" s="362"/>
      <c r="E5" s="363"/>
      <c r="F5" s="454">
        <f>'พย.60'!AN5</f>
        <v>0</v>
      </c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>
      <c r="B6" s="368"/>
      <c r="C6" s="368"/>
      <c r="D6" s="355"/>
      <c r="E6" s="356"/>
      <c r="F6" s="454">
        <f>'พย.60'!AN6</f>
        <v>0</v>
      </c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>
      <c r="B7" s="368" t="s">
        <v>40</v>
      </c>
      <c r="C7" s="368"/>
      <c r="D7" s="355"/>
      <c r="E7" s="356"/>
      <c r="F7" s="454">
        <f>'พย.60'!AN7</f>
        <v>0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>
      <c r="B8" s="368" t="s">
        <v>33</v>
      </c>
      <c r="C8" s="368"/>
      <c r="D8" s="355"/>
      <c r="E8" s="356"/>
      <c r="F8" s="454">
        <f>'พย.60'!AN8</f>
        <v>0</v>
      </c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>
      <c r="B9" s="368" t="s">
        <v>42</v>
      </c>
      <c r="C9" s="368"/>
      <c r="D9" s="355"/>
      <c r="E9" s="356"/>
      <c r="F9" s="454">
        <f>'พย.60'!AN9</f>
        <v>0</v>
      </c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>
      <c r="B10" s="361"/>
      <c r="C10" s="361"/>
      <c r="D10" s="362"/>
      <c r="E10" s="363"/>
      <c r="F10" s="454">
        <f>'พย.60'!AN10</f>
        <v>0</v>
      </c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>
      <c r="B11" s="361"/>
      <c r="C11" s="361"/>
      <c r="D11" s="362"/>
      <c r="E11" s="363"/>
      <c r="F11" s="454">
        <f>'พย.60'!AN11</f>
        <v>0</v>
      </c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>
      <c r="A12" s="349" t="s">
        <v>72</v>
      </c>
      <c r="B12" s="349" t="s">
        <v>0</v>
      </c>
      <c r="D12" s="355"/>
      <c r="E12" s="356"/>
      <c r="F12" s="454">
        <f>'พย.60'!AN12</f>
        <v>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>
      <c r="A13" s="369">
        <v>1101030101</v>
      </c>
      <c r="B13" s="370" t="s">
        <v>39</v>
      </c>
      <c r="D13" s="371">
        <v>9326000028</v>
      </c>
      <c r="E13" s="372" t="s">
        <v>4</v>
      </c>
      <c r="F13" s="454">
        <f>'พย.60'!AN13</f>
        <v>0</v>
      </c>
      <c r="AL13" s="345">
        <f t="shared" si="0"/>
        <v>0</v>
      </c>
    </row>
    <row r="14" spans="1:38" ht="21">
      <c r="A14" s="369">
        <v>1101030101</v>
      </c>
      <c r="B14" s="370" t="s">
        <v>2</v>
      </c>
      <c r="D14" s="371">
        <v>9326001040</v>
      </c>
      <c r="E14" s="372" t="s">
        <v>9</v>
      </c>
      <c r="F14" s="454">
        <f>'พย.60'!AN14</f>
        <v>0</v>
      </c>
      <c r="AL14" s="345">
        <f t="shared" si="0"/>
        <v>0</v>
      </c>
    </row>
    <row r="15" spans="1:38" ht="21">
      <c r="A15" s="369">
        <v>1101030101</v>
      </c>
      <c r="B15" s="370" t="s">
        <v>2</v>
      </c>
      <c r="D15" s="371">
        <v>9326005097</v>
      </c>
      <c r="E15" s="372" t="s">
        <v>10</v>
      </c>
      <c r="F15" s="454">
        <f>'พย.60'!AN15</f>
        <v>0</v>
      </c>
      <c r="AL15" s="345">
        <f t="shared" si="0"/>
        <v>0</v>
      </c>
    </row>
    <row r="16" spans="1:38" ht="21">
      <c r="A16" s="369">
        <v>1101030101</v>
      </c>
      <c r="B16" s="370" t="s">
        <v>2</v>
      </c>
      <c r="D16" s="371">
        <v>9326012476</v>
      </c>
      <c r="E16" s="372" t="s">
        <v>11</v>
      </c>
      <c r="F16" s="454">
        <f>'พย.60'!AN16</f>
        <v>0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377"/>
      <c r="AL17" s="345">
        <f t="shared" si="0"/>
        <v>0</v>
      </c>
    </row>
    <row r="18" spans="1:43" ht="21">
      <c r="A18" s="369">
        <v>1101030101</v>
      </c>
      <c r="D18" s="371">
        <v>9326016978</v>
      </c>
      <c r="E18" s="372" t="s">
        <v>142</v>
      </c>
      <c r="F18" s="377">
        <v>126300</v>
      </c>
      <c r="AL18" s="345">
        <f t="shared" si="0"/>
        <v>126300</v>
      </c>
      <c r="AN18" s="377">
        <v>126300</v>
      </c>
      <c r="AO18" s="381">
        <f>AN18-AL18</f>
        <v>0</v>
      </c>
      <c r="AQ18" s="357">
        <f>AL18+AO18</f>
        <v>126300</v>
      </c>
    </row>
    <row r="19" spans="5:43" ht="21">
      <c r="E19" s="372"/>
      <c r="F19" s="377">
        <v>0</v>
      </c>
      <c r="AL19" s="345">
        <f t="shared" si="0"/>
        <v>0</v>
      </c>
      <c r="AQ19" s="357">
        <f>AL19+AO19</f>
        <v>0</v>
      </c>
    </row>
    <row r="20" spans="1:43" s="387" customFormat="1" ht="21">
      <c r="A20" s="382" t="s">
        <v>12</v>
      </c>
      <c r="B20" s="382" t="s">
        <v>0</v>
      </c>
      <c r="C20" s="382"/>
      <c r="D20" s="383"/>
      <c r="E20" s="384"/>
      <c r="F20" s="280">
        <v>0</v>
      </c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  <c r="AQ20" s="357">
        <f>AL20+AO20</f>
        <v>0</v>
      </c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451">
        <v>127300473.57</v>
      </c>
      <c r="H21" s="373">
        <f>-88040.42-1054061.85+269184.88+22711</f>
        <v>-850206.39</v>
      </c>
      <c r="I21" s="373">
        <f>189116+218313-862677.29+68693+8140</f>
        <v>-378415.29000000004</v>
      </c>
      <c r="J21" s="373">
        <f>49363+19080-668449.51+199966+168502</f>
        <v>-231538.51</v>
      </c>
      <c r="X21" s="374"/>
      <c r="AG21" s="375"/>
      <c r="AL21" s="345">
        <f t="shared" si="0"/>
        <v>125840313.38</v>
      </c>
      <c r="AN21" s="451">
        <v>127300473.57</v>
      </c>
      <c r="AO21" s="381">
        <f>AN21-AL21</f>
        <v>1460160.1899999976</v>
      </c>
      <c r="AP21" s="369" t="s">
        <v>93</v>
      </c>
      <c r="AQ21" s="357">
        <f>AL21+AO21</f>
        <v>127300473.57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451">
        <v>637792.72</v>
      </c>
      <c r="H22" s="373"/>
      <c r="AL22" s="345">
        <f t="shared" si="0"/>
        <v>637792.72</v>
      </c>
      <c r="AN22" s="451">
        <v>637792.72</v>
      </c>
      <c r="AO22" s="381">
        <f aca="true" t="shared" si="1" ref="AO22:AO56">AN22-AL22</f>
        <v>0</v>
      </c>
      <c r="AQ22" s="357">
        <f aca="true" t="shared" si="2" ref="AQ22:AQ57">AL22+AO22</f>
        <v>637792.72</v>
      </c>
      <c r="AR22" s="357">
        <f aca="true" t="shared" si="3" ref="AR22:AR57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451">
        <v>22613.95</v>
      </c>
      <c r="H23" s="373"/>
      <c r="AL23" s="345">
        <f t="shared" si="0"/>
        <v>22613.95</v>
      </c>
      <c r="AN23" s="451">
        <v>22613.95</v>
      </c>
      <c r="AO23" s="381">
        <f t="shared" si="1"/>
        <v>0</v>
      </c>
      <c r="AQ23" s="357">
        <f t="shared" si="2"/>
        <v>22613.95</v>
      </c>
      <c r="AR23" s="357">
        <f t="shared" si="3"/>
        <v>0</v>
      </c>
    </row>
    <row r="24" spans="1:44" s="470" customFormat="1" ht="21">
      <c r="A24" s="469">
        <v>1101030102</v>
      </c>
      <c r="B24" s="470" t="s">
        <v>15</v>
      </c>
      <c r="C24" s="471" t="s">
        <v>52</v>
      </c>
      <c r="D24" s="472">
        <v>9092199648</v>
      </c>
      <c r="E24" s="473" t="s">
        <v>8</v>
      </c>
      <c r="F24" s="474">
        <v>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4">
        <f t="shared" si="0"/>
        <v>0</v>
      </c>
      <c r="AM24" s="475"/>
      <c r="AN24" s="474">
        <v>0</v>
      </c>
      <c r="AO24" s="477">
        <f t="shared" si="1"/>
        <v>0</v>
      </c>
      <c r="AP24" s="469"/>
      <c r="AQ24" s="478">
        <f t="shared" si="2"/>
        <v>0</v>
      </c>
      <c r="AR24" s="478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451">
        <v>541097.75</v>
      </c>
      <c r="H25" s="373"/>
      <c r="AL25" s="345">
        <f t="shared" si="0"/>
        <v>541097.75</v>
      </c>
      <c r="AN25" s="451">
        <v>541097.75</v>
      </c>
      <c r="AO25" s="381">
        <f t="shared" si="1"/>
        <v>0</v>
      </c>
      <c r="AQ25" s="357">
        <f t="shared" si="2"/>
        <v>541097.75</v>
      </c>
      <c r="AR25" s="357">
        <f t="shared" si="3"/>
        <v>0</v>
      </c>
    </row>
    <row r="26" spans="1:44" s="470" customFormat="1" ht="21">
      <c r="A26" s="469">
        <v>1101030102</v>
      </c>
      <c r="B26" s="470" t="s">
        <v>2</v>
      </c>
      <c r="C26" s="471" t="s">
        <v>53</v>
      </c>
      <c r="D26" s="472">
        <v>9321151400</v>
      </c>
      <c r="E26" s="473" t="s">
        <v>17</v>
      </c>
      <c r="F26" s="474">
        <v>0</v>
      </c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4">
        <f t="shared" si="0"/>
        <v>0</v>
      </c>
      <c r="AM26" s="475"/>
      <c r="AN26" s="474">
        <v>0</v>
      </c>
      <c r="AO26" s="477">
        <f t="shared" si="1"/>
        <v>0</v>
      </c>
      <c r="AP26" s="469"/>
      <c r="AQ26" s="478">
        <f t="shared" si="2"/>
        <v>0</v>
      </c>
      <c r="AR26" s="478">
        <f t="shared" si="3"/>
        <v>0</v>
      </c>
    </row>
    <row r="27" spans="1:44" s="470" customFormat="1" ht="21">
      <c r="A27" s="469">
        <v>1101030102</v>
      </c>
      <c r="B27" s="470" t="s">
        <v>2</v>
      </c>
      <c r="C27" s="471" t="s">
        <v>54</v>
      </c>
      <c r="D27" s="472">
        <v>9321484736</v>
      </c>
      <c r="E27" s="473" t="s">
        <v>19</v>
      </c>
      <c r="F27" s="474"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4">
        <f t="shared" si="0"/>
        <v>0</v>
      </c>
      <c r="AM27" s="475"/>
      <c r="AN27" s="474"/>
      <c r="AO27" s="477">
        <f t="shared" si="1"/>
        <v>0</v>
      </c>
      <c r="AP27" s="469"/>
      <c r="AQ27" s="478">
        <f t="shared" si="2"/>
        <v>0</v>
      </c>
      <c r="AR27" s="478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451">
        <v>41996.78</v>
      </c>
      <c r="H28" s="373"/>
      <c r="AL28" s="345">
        <f t="shared" si="0"/>
        <v>41996.78</v>
      </c>
      <c r="AN28" s="451">
        <v>41996.78</v>
      </c>
      <c r="AO28" s="381">
        <f t="shared" si="1"/>
        <v>0</v>
      </c>
      <c r="AQ28" s="357">
        <f t="shared" si="2"/>
        <v>41996.78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451">
        <v>3921.26</v>
      </c>
      <c r="H29" s="373"/>
      <c r="AL29" s="345">
        <f t="shared" si="0"/>
        <v>3921.26</v>
      </c>
      <c r="AN29" s="451">
        <v>3921.26</v>
      </c>
      <c r="AO29" s="381">
        <f t="shared" si="1"/>
        <v>0</v>
      </c>
      <c r="AQ29" s="357">
        <f t="shared" si="2"/>
        <v>3921.26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451">
        <v>4395.38</v>
      </c>
      <c r="H30" s="373"/>
      <c r="AL30" s="345">
        <f t="shared" si="0"/>
        <v>4395.38</v>
      </c>
      <c r="AN30" s="451">
        <v>4395.38</v>
      </c>
      <c r="AO30" s="381">
        <f t="shared" si="1"/>
        <v>0</v>
      </c>
      <c r="AQ30" s="357">
        <f t="shared" si="2"/>
        <v>4395.38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451">
        <v>101262.75</v>
      </c>
      <c r="H31" s="373"/>
      <c r="AL31" s="345">
        <f t="shared" si="0"/>
        <v>101262.75</v>
      </c>
      <c r="AN31" s="451">
        <v>101262.75</v>
      </c>
      <c r="AO31" s="381">
        <f t="shared" si="1"/>
        <v>0</v>
      </c>
      <c r="AQ31" s="357">
        <f t="shared" si="2"/>
        <v>101262.75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451">
        <v>0</v>
      </c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451">
        <v>6781487.78</v>
      </c>
      <c r="G33" s="373">
        <f>-92279.44</f>
        <v>-92279.44</v>
      </c>
      <c r="H33" s="373"/>
      <c r="AL33" s="345">
        <f t="shared" si="0"/>
        <v>6689208.34</v>
      </c>
      <c r="AN33" s="451">
        <v>6781487.78</v>
      </c>
      <c r="AO33" s="381">
        <f t="shared" si="1"/>
        <v>92279.44000000041</v>
      </c>
      <c r="AP33" s="369" t="s">
        <v>93</v>
      </c>
      <c r="AQ33" s="357">
        <f t="shared" si="2"/>
        <v>6781487.78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451">
        <v>0</v>
      </c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452">
        <v>246040500.17</v>
      </c>
      <c r="H35" s="373"/>
      <c r="AL35" s="345">
        <f t="shared" si="0"/>
        <v>246040500.17</v>
      </c>
      <c r="AN35" s="451">
        <v>246040500.17</v>
      </c>
      <c r="AO35" s="405">
        <f t="shared" si="1"/>
        <v>0</v>
      </c>
      <c r="AP35" s="369" t="s">
        <v>92</v>
      </c>
      <c r="AQ35" s="357">
        <f t="shared" si="2"/>
        <v>246040500.17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451">
        <v>11011884.14</v>
      </c>
      <c r="H36" s="373"/>
      <c r="AL36" s="345">
        <f t="shared" si="0"/>
        <v>11011884.14</v>
      </c>
      <c r="AN36" s="451">
        <v>11011884.14</v>
      </c>
      <c r="AO36" s="381">
        <f t="shared" si="1"/>
        <v>0</v>
      </c>
      <c r="AP36" s="369" t="s">
        <v>92</v>
      </c>
      <c r="AQ36" s="357">
        <f t="shared" si="2"/>
        <v>11011884.14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451">
        <v>46007640.68</v>
      </c>
      <c r="H37" s="373"/>
      <c r="AL37" s="345">
        <f t="shared" si="0"/>
        <v>46007640.68</v>
      </c>
      <c r="AN37" s="451">
        <v>46007640.68</v>
      </c>
      <c r="AO37" s="381">
        <f t="shared" si="1"/>
        <v>0</v>
      </c>
      <c r="AP37" s="369" t="s">
        <v>92</v>
      </c>
      <c r="AQ37" s="357">
        <f t="shared" si="2"/>
        <v>46007640.68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451">
        <v>11799643</v>
      </c>
      <c r="H38" s="373"/>
      <c r="AL38" s="345">
        <f t="shared" si="0"/>
        <v>11799643</v>
      </c>
      <c r="AN38" s="451">
        <v>11799643</v>
      </c>
      <c r="AO38" s="381">
        <f t="shared" si="1"/>
        <v>0</v>
      </c>
      <c r="AP38" s="369" t="s">
        <v>92</v>
      </c>
      <c r="AQ38" s="357">
        <f t="shared" si="2"/>
        <v>11799643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451">
        <v>10914280.85</v>
      </c>
      <c r="H39" s="373"/>
      <c r="AL39" s="345">
        <f t="shared" si="0"/>
        <v>10914280.85</v>
      </c>
      <c r="AN39" s="451">
        <v>10914280.85</v>
      </c>
      <c r="AO39" s="381">
        <f t="shared" si="1"/>
        <v>0</v>
      </c>
      <c r="AQ39" s="357">
        <f t="shared" si="2"/>
        <v>10914280.85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451">
        <v>6146405.97</v>
      </c>
      <c r="H40" s="373">
        <f>2500</f>
        <v>2500</v>
      </c>
      <c r="I40" s="373">
        <v>3700</v>
      </c>
      <c r="J40" s="373">
        <v>1500</v>
      </c>
      <c r="AL40" s="345">
        <f t="shared" si="0"/>
        <v>6154105.97</v>
      </c>
      <c r="AN40" s="451">
        <v>6146405.97</v>
      </c>
      <c r="AO40" s="381">
        <f t="shared" si="1"/>
        <v>-7700</v>
      </c>
      <c r="AP40" s="369" t="s">
        <v>92</v>
      </c>
      <c r="AQ40" s="357">
        <f t="shared" si="2"/>
        <v>6146405.97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451">
        <v>572223.25</v>
      </c>
      <c r="H41" s="373"/>
      <c r="AL41" s="345">
        <f t="shared" si="0"/>
        <v>572223.25</v>
      </c>
      <c r="AN41" s="451">
        <v>572223.25</v>
      </c>
      <c r="AO41" s="381">
        <f t="shared" si="1"/>
        <v>0</v>
      </c>
      <c r="AQ41" s="357">
        <f t="shared" si="2"/>
        <v>572223.25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F42" s="451">
        <v>0</v>
      </c>
      <c r="H42" s="373"/>
      <c r="AL42" s="345">
        <f t="shared" si="0"/>
        <v>0</v>
      </c>
      <c r="AN42" s="451"/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451">
        <v>1786418.74</v>
      </c>
      <c r="H43" s="373"/>
      <c r="AL43" s="345">
        <f t="shared" si="0"/>
        <v>1786418.74</v>
      </c>
      <c r="AN43" s="451">
        <v>1786418.74</v>
      </c>
      <c r="AO43" s="381">
        <f t="shared" si="1"/>
        <v>0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451">
        <v>26742.71</v>
      </c>
      <c r="H44" s="373"/>
      <c r="AL44" s="345">
        <f t="shared" si="0"/>
        <v>26742.71</v>
      </c>
      <c r="AN44" s="451">
        <v>26742.71</v>
      </c>
      <c r="AO44" s="381">
        <f t="shared" si="1"/>
        <v>0</v>
      </c>
      <c r="AQ44" s="357">
        <f t="shared" si="2"/>
        <v>26742.71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451">
        <v>369076.97</v>
      </c>
      <c r="H45" s="373"/>
      <c r="AL45" s="345">
        <f t="shared" si="0"/>
        <v>369076.97</v>
      </c>
      <c r="AN45" s="451">
        <v>369076.97</v>
      </c>
      <c r="AO45" s="381">
        <f t="shared" si="1"/>
        <v>0</v>
      </c>
      <c r="AQ45" s="357">
        <f t="shared" si="2"/>
        <v>369076.97</v>
      </c>
      <c r="AR45" s="357">
        <f t="shared" si="3"/>
        <v>0</v>
      </c>
    </row>
    <row r="46" spans="1:44" s="470" customFormat="1" ht="21">
      <c r="A46" s="469">
        <v>1101030102</v>
      </c>
      <c r="B46" s="470" t="s">
        <v>13</v>
      </c>
      <c r="C46" s="471" t="s">
        <v>68</v>
      </c>
      <c r="D46" s="472">
        <v>5081084530</v>
      </c>
      <c r="E46" s="473" t="s">
        <v>84</v>
      </c>
      <c r="F46" s="474">
        <v>0</v>
      </c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4">
        <f t="shared" si="0"/>
        <v>0</v>
      </c>
      <c r="AM46" s="475"/>
      <c r="AN46" s="474">
        <v>0</v>
      </c>
      <c r="AO46" s="477">
        <f t="shared" si="1"/>
        <v>0</v>
      </c>
      <c r="AP46" s="469"/>
      <c r="AQ46" s="478">
        <f t="shared" si="2"/>
        <v>0</v>
      </c>
      <c r="AR46" s="478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451">
        <v>25494942.72</v>
      </c>
      <c r="H47" s="373"/>
      <c r="AL47" s="345">
        <f t="shared" si="0"/>
        <v>25494942.72</v>
      </c>
      <c r="AN47" s="451">
        <v>25494942.72</v>
      </c>
      <c r="AO47" s="381">
        <f t="shared" si="1"/>
        <v>0</v>
      </c>
      <c r="AP47" s="369" t="s">
        <v>92</v>
      </c>
      <c r="AQ47" s="357">
        <f t="shared" si="2"/>
        <v>25494942.72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451">
        <v>84922.26</v>
      </c>
      <c r="H48" s="373"/>
      <c r="AL48" s="345">
        <f t="shared" si="0"/>
        <v>84922.26</v>
      </c>
      <c r="AN48" s="451">
        <v>84922.26</v>
      </c>
      <c r="AO48" s="381">
        <f t="shared" si="1"/>
        <v>0</v>
      </c>
      <c r="AQ48" s="357">
        <f t="shared" si="2"/>
        <v>84922.26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451">
        <v>7793164.859999999</v>
      </c>
      <c r="H49" s="373"/>
      <c r="AL49" s="345">
        <f t="shared" si="0"/>
        <v>7793164.859999999</v>
      </c>
      <c r="AN49" s="451">
        <v>7793164.86</v>
      </c>
      <c r="AO49" s="381">
        <f t="shared" si="1"/>
        <v>0</v>
      </c>
      <c r="AQ49" s="357">
        <f t="shared" si="2"/>
        <v>7793164.859999999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451">
        <v>13540618.53</v>
      </c>
      <c r="H50" s="373"/>
      <c r="J50" s="373">
        <f>-629065.42</f>
        <v>-629065.42</v>
      </c>
      <c r="AL50" s="345">
        <f t="shared" si="0"/>
        <v>12911553.11</v>
      </c>
      <c r="AN50" s="451">
        <v>13540618.53</v>
      </c>
      <c r="AO50" s="381">
        <f t="shared" si="1"/>
        <v>629065.4199999999</v>
      </c>
      <c r="AP50" s="369" t="s">
        <v>93</v>
      </c>
      <c r="AQ50" s="357">
        <f t="shared" si="2"/>
        <v>13540618.53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451">
        <v>43646905.7</v>
      </c>
      <c r="H51" s="373"/>
      <c r="J51" s="373">
        <f>-6475215.97</f>
        <v>-6475215.97</v>
      </c>
      <c r="AL51" s="345">
        <f t="shared" si="0"/>
        <v>37171689.730000004</v>
      </c>
      <c r="AN51" s="451">
        <v>43646905.7</v>
      </c>
      <c r="AO51" s="381">
        <f t="shared" si="1"/>
        <v>6475215.969999999</v>
      </c>
      <c r="AQ51" s="357">
        <f t="shared" si="2"/>
        <v>43646905.7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451">
        <v>77272.31</v>
      </c>
      <c r="H52" s="373"/>
      <c r="AL52" s="345">
        <f t="shared" si="0"/>
        <v>77272.31</v>
      </c>
      <c r="AN52" s="451">
        <v>77272.31</v>
      </c>
      <c r="AO52" s="381">
        <f t="shared" si="1"/>
        <v>0</v>
      </c>
      <c r="AQ52" s="357">
        <f t="shared" si="2"/>
        <v>77272.31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451">
        <v>2063479.01</v>
      </c>
      <c r="H53" s="373"/>
      <c r="AL53" s="345">
        <f t="shared" si="0"/>
        <v>2063479.01</v>
      </c>
      <c r="AN53" s="451">
        <v>2063479.01</v>
      </c>
      <c r="AO53" s="381">
        <f t="shared" si="1"/>
        <v>0</v>
      </c>
      <c r="AP53" s="369" t="s">
        <v>93</v>
      </c>
      <c r="AQ53" s="357">
        <f t="shared" si="2"/>
        <v>2063479.01</v>
      </c>
      <c r="AR53" s="357">
        <f t="shared" si="3"/>
        <v>0</v>
      </c>
    </row>
    <row r="54" spans="1:44" s="467" customFormat="1" ht="21">
      <c r="A54" s="456">
        <v>1101030102</v>
      </c>
      <c r="B54" s="457" t="s">
        <v>160</v>
      </c>
      <c r="C54" s="458" t="s">
        <v>161</v>
      </c>
      <c r="D54" s="459">
        <v>9323108588</v>
      </c>
      <c r="E54" s="460" t="s">
        <v>162</v>
      </c>
      <c r="F54" s="465">
        <v>249463.31</v>
      </c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345">
        <f t="shared" si="0"/>
        <v>249463.31</v>
      </c>
      <c r="AM54" s="464"/>
      <c r="AN54" s="465">
        <v>249463.31</v>
      </c>
      <c r="AO54" s="381">
        <f t="shared" si="1"/>
        <v>0</v>
      </c>
      <c r="AP54" s="456"/>
      <c r="AQ54" s="357">
        <f t="shared" si="2"/>
        <v>249463.31</v>
      </c>
      <c r="AR54" s="466">
        <f t="shared" si="3"/>
        <v>0</v>
      </c>
    </row>
    <row r="55" spans="1:44" ht="21">
      <c r="A55" s="382" t="s">
        <v>113</v>
      </c>
      <c r="B55" s="370" t="s">
        <v>114</v>
      </c>
      <c r="C55" s="388" t="s">
        <v>115</v>
      </c>
      <c r="D55" s="408">
        <v>65210028561</v>
      </c>
      <c r="E55" s="409" t="s">
        <v>116</v>
      </c>
      <c r="F55" s="451">
        <v>30000000</v>
      </c>
      <c r="H55" s="373"/>
      <c r="AL55" s="345">
        <f t="shared" si="0"/>
        <v>30000000</v>
      </c>
      <c r="AN55" s="451">
        <v>30000000</v>
      </c>
      <c r="AO55" s="381">
        <f t="shared" si="1"/>
        <v>0</v>
      </c>
      <c r="AQ55" s="357">
        <f t="shared" si="2"/>
        <v>30000000</v>
      </c>
      <c r="AR55" s="357">
        <f t="shared" si="3"/>
        <v>0</v>
      </c>
    </row>
    <row r="56" spans="1:44" ht="21">
      <c r="A56" s="382" t="s">
        <v>113</v>
      </c>
      <c r="B56" s="370" t="s">
        <v>118</v>
      </c>
      <c r="C56" s="388" t="s">
        <v>62</v>
      </c>
      <c r="D56" s="408">
        <v>300020091397</v>
      </c>
      <c r="E56" s="409" t="s">
        <v>117</v>
      </c>
      <c r="F56" s="453">
        <v>10533644.86</v>
      </c>
      <c r="H56" s="373"/>
      <c r="AL56" s="345">
        <f t="shared" si="0"/>
        <v>10533644.86</v>
      </c>
      <c r="AM56" s="412"/>
      <c r="AN56" s="453">
        <v>10533644.86</v>
      </c>
      <c r="AO56" s="415">
        <f t="shared" si="1"/>
        <v>0</v>
      </c>
      <c r="AP56" s="416"/>
      <c r="AQ56" s="357">
        <f t="shared" si="2"/>
        <v>10533644.86</v>
      </c>
      <c r="AR56" s="357">
        <f t="shared" si="3"/>
        <v>0</v>
      </c>
    </row>
    <row r="57" spans="1:44" ht="21.75" thickBot="1">
      <c r="A57" s="416"/>
      <c r="B57" s="417"/>
      <c r="C57" s="418"/>
      <c r="D57" s="419"/>
      <c r="E57" s="420"/>
      <c r="F57" s="455">
        <f>SUM(F3:F56)</f>
        <v>603720571.98</v>
      </c>
      <c r="G57" s="421">
        <f aca="true" t="shared" si="4" ref="G57:AL57">SUM(G3:G56)</f>
        <v>-92279.44</v>
      </c>
      <c r="H57" s="421">
        <f t="shared" si="4"/>
        <v>-847706.39</v>
      </c>
      <c r="I57" s="421">
        <f t="shared" si="4"/>
        <v>-374715.29000000004</v>
      </c>
      <c r="J57" s="421">
        <f t="shared" si="4"/>
        <v>-7334319.899999999</v>
      </c>
      <c r="K57" s="421">
        <f t="shared" si="4"/>
        <v>0</v>
      </c>
      <c r="L57" s="421">
        <f t="shared" si="4"/>
        <v>0</v>
      </c>
      <c r="M57" s="421">
        <f t="shared" si="4"/>
        <v>0</v>
      </c>
      <c r="N57" s="421">
        <f t="shared" si="4"/>
        <v>0</v>
      </c>
      <c r="O57" s="421">
        <f t="shared" si="4"/>
        <v>0</v>
      </c>
      <c r="P57" s="421">
        <f t="shared" si="4"/>
        <v>0</v>
      </c>
      <c r="Q57" s="421">
        <f t="shared" si="4"/>
        <v>0</v>
      </c>
      <c r="R57" s="421">
        <f t="shared" si="4"/>
        <v>0</v>
      </c>
      <c r="S57" s="421">
        <f t="shared" si="4"/>
        <v>0</v>
      </c>
      <c r="T57" s="421">
        <f t="shared" si="4"/>
        <v>0</v>
      </c>
      <c r="U57" s="421">
        <f t="shared" si="4"/>
        <v>0</v>
      </c>
      <c r="V57" s="421">
        <f t="shared" si="4"/>
        <v>0</v>
      </c>
      <c r="W57" s="421">
        <f t="shared" si="4"/>
        <v>0</v>
      </c>
      <c r="X57" s="421">
        <f t="shared" si="4"/>
        <v>0</v>
      </c>
      <c r="Y57" s="422">
        <f t="shared" si="4"/>
        <v>0</v>
      </c>
      <c r="Z57" s="421">
        <f t="shared" si="4"/>
        <v>0</v>
      </c>
      <c r="AA57" s="421">
        <f t="shared" si="4"/>
        <v>0</v>
      </c>
      <c r="AB57" s="421">
        <f t="shared" si="4"/>
        <v>0</v>
      </c>
      <c r="AC57" s="421">
        <f t="shared" si="4"/>
        <v>0</v>
      </c>
      <c r="AD57" s="421">
        <f t="shared" si="4"/>
        <v>0</v>
      </c>
      <c r="AE57" s="421">
        <f t="shared" si="4"/>
        <v>0</v>
      </c>
      <c r="AF57" s="421">
        <f t="shared" si="4"/>
        <v>0</v>
      </c>
      <c r="AG57" s="421">
        <f t="shared" si="4"/>
        <v>0</v>
      </c>
      <c r="AH57" s="421">
        <f t="shared" si="4"/>
        <v>0</v>
      </c>
      <c r="AI57" s="421">
        <f t="shared" si="4"/>
        <v>0</v>
      </c>
      <c r="AJ57" s="421">
        <f t="shared" si="4"/>
        <v>0</v>
      </c>
      <c r="AK57" s="421">
        <f t="shared" si="4"/>
        <v>0</v>
      </c>
      <c r="AL57" s="423">
        <f t="shared" si="4"/>
        <v>595071550.96</v>
      </c>
      <c r="AM57" s="424"/>
      <c r="AN57" s="425">
        <f>SUM(AN3:AN56)</f>
        <v>603720571.98</v>
      </c>
      <c r="AO57" s="491">
        <f>SUM(AO3:AO56)</f>
        <v>8649021.019999996</v>
      </c>
      <c r="AP57" s="427"/>
      <c r="AQ57" s="428">
        <f t="shared" si="2"/>
        <v>603720571.98</v>
      </c>
      <c r="AR57" s="357">
        <f t="shared" si="3"/>
        <v>0</v>
      </c>
    </row>
    <row r="58" spans="1:44" ht="21.75" thickBot="1">
      <c r="A58" s="479"/>
      <c r="B58" s="480"/>
      <c r="C58" s="481"/>
      <c r="D58" s="482"/>
      <c r="E58" s="483"/>
      <c r="F58" s="484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2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85"/>
      <c r="AM58" s="486"/>
      <c r="AN58" s="487"/>
      <c r="AO58" s="487"/>
      <c r="AP58" s="488"/>
      <c r="AQ58" s="428"/>
      <c r="AR58" s="357"/>
    </row>
    <row r="59" spans="1:45" s="438" customFormat="1" ht="21">
      <c r="A59" s="511" t="s">
        <v>145</v>
      </c>
      <c r="B59" s="512"/>
      <c r="C59" s="513"/>
      <c r="D59" s="429">
        <f>AO21+AO33+AO50+AO53</f>
        <v>2181505.049999998</v>
      </c>
      <c r="E59" s="430"/>
      <c r="F59" s="431"/>
      <c r="G59" s="432">
        <f>F57+G57</f>
        <v>603628292.54</v>
      </c>
      <c r="H59" s="433">
        <f aca="true" t="shared" si="5" ref="H59:AK59">G59+H57</f>
        <v>602780586.15</v>
      </c>
      <c r="I59" s="433">
        <f t="shared" si="5"/>
        <v>602405870.86</v>
      </c>
      <c r="J59" s="433">
        <f t="shared" si="5"/>
        <v>595071550.96</v>
      </c>
      <c r="K59" s="433">
        <f t="shared" si="5"/>
        <v>595071550.96</v>
      </c>
      <c r="L59" s="433">
        <f t="shared" si="5"/>
        <v>595071550.96</v>
      </c>
      <c r="M59" s="433">
        <f t="shared" si="5"/>
        <v>595071550.96</v>
      </c>
      <c r="N59" s="433">
        <f t="shared" si="5"/>
        <v>595071550.96</v>
      </c>
      <c r="O59" s="433">
        <f t="shared" si="5"/>
        <v>595071550.96</v>
      </c>
      <c r="P59" s="433">
        <f t="shared" si="5"/>
        <v>595071550.96</v>
      </c>
      <c r="Q59" s="433">
        <f t="shared" si="5"/>
        <v>595071550.96</v>
      </c>
      <c r="R59" s="433">
        <f t="shared" si="5"/>
        <v>595071550.96</v>
      </c>
      <c r="S59" s="433">
        <f t="shared" si="5"/>
        <v>595071550.96</v>
      </c>
      <c r="T59" s="433">
        <f t="shared" si="5"/>
        <v>595071550.96</v>
      </c>
      <c r="U59" s="433">
        <f t="shared" si="5"/>
        <v>595071550.96</v>
      </c>
      <c r="V59" s="433">
        <f t="shared" si="5"/>
        <v>595071550.96</v>
      </c>
      <c r="W59" s="433">
        <f t="shared" si="5"/>
        <v>595071550.96</v>
      </c>
      <c r="X59" s="433">
        <f t="shared" si="5"/>
        <v>595071550.96</v>
      </c>
      <c r="Y59" s="433">
        <f t="shared" si="5"/>
        <v>595071550.96</v>
      </c>
      <c r="Z59" s="433">
        <f t="shared" si="5"/>
        <v>595071550.96</v>
      </c>
      <c r="AA59" s="433">
        <f t="shared" si="5"/>
        <v>595071550.96</v>
      </c>
      <c r="AB59" s="433">
        <f t="shared" si="5"/>
        <v>595071550.96</v>
      </c>
      <c r="AC59" s="433">
        <f t="shared" si="5"/>
        <v>595071550.96</v>
      </c>
      <c r="AD59" s="433">
        <f t="shared" si="5"/>
        <v>595071550.96</v>
      </c>
      <c r="AE59" s="433">
        <f>AD59+AE57</f>
        <v>595071550.96</v>
      </c>
      <c r="AF59" s="433">
        <f t="shared" si="5"/>
        <v>595071550.96</v>
      </c>
      <c r="AG59" s="433">
        <f t="shared" si="5"/>
        <v>595071550.96</v>
      </c>
      <c r="AH59" s="433">
        <f t="shared" si="5"/>
        <v>595071550.96</v>
      </c>
      <c r="AI59" s="433">
        <f t="shared" si="5"/>
        <v>595071550.96</v>
      </c>
      <c r="AJ59" s="433">
        <f t="shared" si="5"/>
        <v>595071550.96</v>
      </c>
      <c r="AK59" s="433">
        <f t="shared" si="5"/>
        <v>595071550.96</v>
      </c>
      <c r="AL59" s="433"/>
      <c r="AM59" s="434"/>
      <c r="AN59" s="435"/>
      <c r="AO59" s="436"/>
      <c r="AP59" s="437"/>
      <c r="AS59" s="434" t="s">
        <v>131</v>
      </c>
    </row>
    <row r="60" spans="1:45" ht="21">
      <c r="A60" s="514" t="s">
        <v>140</v>
      </c>
      <c r="B60" s="515"/>
      <c r="C60" s="516"/>
      <c r="D60" s="281">
        <v>0</v>
      </c>
      <c r="E60" s="300"/>
      <c r="F60" s="290"/>
      <c r="G60" s="439"/>
      <c r="I60" s="374"/>
      <c r="J60" s="374"/>
      <c r="AS60" s="376" t="s">
        <v>132</v>
      </c>
    </row>
    <row r="61" spans="1:43" ht="21">
      <c r="A61" s="301"/>
      <c r="B61" s="282"/>
      <c r="C61" s="280" t="s">
        <v>138</v>
      </c>
      <c r="D61" s="283"/>
      <c r="E61" s="302">
        <f>D59+D60</f>
        <v>2181505.049999998</v>
      </c>
      <c r="F61" s="290"/>
      <c r="G61" s="439"/>
      <c r="L61" s="373">
        <f>623296167.92-L59</f>
        <v>28224616.95999992</v>
      </c>
      <c r="N61" s="373">
        <f>624073238.21</f>
        <v>624073238.21</v>
      </c>
      <c r="X61" s="373">
        <f>601483364.79</f>
        <v>601483364.79</v>
      </c>
      <c r="AQ61" s="357">
        <f>D59+D63</f>
        <v>2173805.049999998</v>
      </c>
    </row>
    <row r="62" spans="1:38" ht="21.75" thickBot="1">
      <c r="A62" s="303"/>
      <c r="B62" s="282"/>
      <c r="C62" s="284"/>
      <c r="D62" s="285"/>
      <c r="E62" s="304"/>
      <c r="F62" s="290"/>
      <c r="G62" s="441"/>
      <c r="N62" s="373">
        <f>N61-N59</f>
        <v>29001687.25</v>
      </c>
      <c r="X62" s="373">
        <f>X59-X61</f>
        <v>-6411813.829999924</v>
      </c>
      <c r="AB62" s="373">
        <f>603805617.73</f>
        <v>603805617.73</v>
      </c>
      <c r="AE62" s="373">
        <f>583844591.57</f>
        <v>583844591.57</v>
      </c>
      <c r="AF62" s="373">
        <f>584088556.39</f>
        <v>584088556.39</v>
      </c>
      <c r="AL62" s="442"/>
    </row>
    <row r="63" spans="1:43" ht="21.75" thickBot="1">
      <c r="A63" s="517" t="s">
        <v>146</v>
      </c>
      <c r="B63" s="518"/>
      <c r="C63" s="519"/>
      <c r="D63" s="281">
        <f>E65</f>
        <v>-7700</v>
      </c>
      <c r="E63" s="304"/>
      <c r="F63" s="290" t="s">
        <v>144</v>
      </c>
      <c r="G63" s="441"/>
      <c r="AB63" s="373">
        <f>AB59-AB62</f>
        <v>-8734066.76999998</v>
      </c>
      <c r="AE63" s="373">
        <f>AE59-AE62</f>
        <v>11226959.389999986</v>
      </c>
      <c r="AF63" s="373">
        <f>AF59-AF62</f>
        <v>10982994.570000052</v>
      </c>
      <c r="AK63" s="443"/>
      <c r="AL63" s="444">
        <f>E61+D63</f>
        <v>2173805.049999998</v>
      </c>
      <c r="AM63" s="291"/>
      <c r="AQ63" s="357"/>
    </row>
    <row r="64" spans="1:43" ht="21">
      <c r="A64" s="301"/>
      <c r="B64" s="286"/>
      <c r="C64" s="287" t="s">
        <v>141</v>
      </c>
      <c r="D64" s="280"/>
      <c r="E64" s="305">
        <v>0</v>
      </c>
      <c r="F64" s="290"/>
      <c r="G64" s="441"/>
      <c r="AL64" s="445"/>
      <c r="AN64" s="468"/>
      <c r="AO64" s="378" t="s">
        <v>80</v>
      </c>
      <c r="AQ64" s="357">
        <f>AQ63+AN63</f>
        <v>0</v>
      </c>
    </row>
    <row r="65" spans="1:6" ht="21">
      <c r="A65" s="303"/>
      <c r="B65" s="282"/>
      <c r="C65" s="288" t="s">
        <v>139</v>
      </c>
      <c r="D65" s="289"/>
      <c r="E65" s="492">
        <f>AO35+AO36+AO37+AO38+AO40+AO47</f>
        <v>-7700</v>
      </c>
      <c r="F65" s="291"/>
    </row>
    <row r="66" spans="1:5" ht="21">
      <c r="A66" s="446"/>
      <c r="B66" s="447"/>
      <c r="C66" s="447"/>
      <c r="D66" s="448"/>
      <c r="E66" s="449"/>
    </row>
    <row r="67" ht="21">
      <c r="D67" s="450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  <row r="74" ht="21">
      <c r="D74" s="450"/>
    </row>
  </sheetData>
  <sheetProtection/>
  <mergeCells count="10">
    <mergeCell ref="A59:C59"/>
    <mergeCell ref="A63:C63"/>
    <mergeCell ref="E1:E2"/>
    <mergeCell ref="C1:C2"/>
    <mergeCell ref="F1:F2"/>
    <mergeCell ref="G1:AK1"/>
    <mergeCell ref="A60:C60"/>
    <mergeCell ref="A1:A2"/>
    <mergeCell ref="B1:B2"/>
    <mergeCell ref="D1:D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6">
      <formula1>6</formula1>
    </dataValidation>
  </dataValidations>
  <printOptions/>
  <pageMargins left="0.15748031496062992" right="0.15748031496062992" top="1.1023622047244095" bottom="0.9055118110236221" header="0.4724409448818898" footer="0.35433070866141736"/>
  <pageSetup horizontalDpi="600" verticalDpi="600" orientation="landscape" paperSize="9" scale="85" r:id="rId3"/>
  <headerFooter>
    <oddHeader>&amp;Cหน้าที่ &amp;P จาก &amp;N</oddHeader>
    <oddFooter>&amp;Lรายการปรับปรุง เงินสด เงินฝากฯ GFMIS&amp;Rวันที่พิมพ์ &amp;D เวลา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2"/>
  <sheetViews>
    <sheetView zoomScale="130" zoomScaleNormal="130" zoomScalePageLayoutView="0" workbookViewId="0" topLeftCell="A1">
      <selection activeCell="E21" sqref="E21"/>
    </sheetView>
  </sheetViews>
  <sheetFormatPr defaultColWidth="9.140625" defaultRowHeight="12.75"/>
  <cols>
    <col min="1" max="1" width="16.57421875" style="124" customWidth="1"/>
    <col min="2" max="2" width="7.00390625" style="125" hidden="1" customWidth="1"/>
    <col min="3" max="3" width="25.140625" style="125" customWidth="1"/>
    <col min="4" max="4" width="22.57421875" style="126" customWidth="1"/>
    <col min="5" max="5" width="19.00390625" style="130" customWidth="1"/>
    <col min="6" max="6" width="15.57421875" style="128" hidden="1" customWidth="1"/>
    <col min="7" max="7" width="15.7109375" style="163" hidden="1" customWidth="1"/>
    <col min="8" max="8" width="15.7109375" style="164" hidden="1" customWidth="1"/>
    <col min="9" max="13" width="15.7109375" style="163" hidden="1" customWidth="1"/>
    <col min="14" max="14" width="17.421875" style="163" hidden="1" customWidth="1"/>
    <col min="15" max="37" width="15.7109375" style="163" hidden="1" customWidth="1"/>
    <col min="38" max="38" width="16.28125" style="208" hidden="1" customWidth="1"/>
    <col min="39" max="39" width="4.140625" style="128" hidden="1" customWidth="1"/>
    <col min="40" max="40" width="16.00390625" style="222" hidden="1" customWidth="1"/>
    <col min="41" max="41" width="16.00390625" style="135" hidden="1" customWidth="1"/>
    <col min="42" max="42" width="3.8515625" style="124" hidden="1" customWidth="1"/>
    <col min="43" max="43" width="19.140625" style="125" bestFit="1" customWidth="1"/>
    <col min="44" max="44" width="26.28125" style="125" customWidth="1"/>
    <col min="45" max="16384" width="9.140625" style="125" customWidth="1"/>
  </cols>
  <sheetData>
    <row r="1" spans="1:40" s="114" customFormat="1" ht="27" customHeight="1">
      <c r="A1" s="544" t="s">
        <v>73</v>
      </c>
      <c r="B1" s="546" t="s">
        <v>3</v>
      </c>
      <c r="C1" s="546" t="s">
        <v>46</v>
      </c>
      <c r="D1" s="548" t="s">
        <v>1</v>
      </c>
      <c r="E1" s="550" t="s">
        <v>45</v>
      </c>
      <c r="F1" s="533" t="s">
        <v>127</v>
      </c>
      <c r="G1" s="535" t="s">
        <v>148</v>
      </c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7"/>
      <c r="AL1" s="210"/>
      <c r="AM1" s="117"/>
      <c r="AN1" s="223"/>
    </row>
    <row r="2" spans="1:44" s="114" customFormat="1" ht="66.75" customHeight="1">
      <c r="A2" s="545"/>
      <c r="B2" s="547"/>
      <c r="C2" s="547"/>
      <c r="D2" s="549"/>
      <c r="E2" s="551"/>
      <c r="F2" s="534"/>
      <c r="G2" s="160">
        <v>1</v>
      </c>
      <c r="H2" s="160">
        <v>2</v>
      </c>
      <c r="I2" s="160">
        <v>3</v>
      </c>
      <c r="J2" s="160">
        <v>4</v>
      </c>
      <c r="K2" s="160">
        <v>5</v>
      </c>
      <c r="L2" s="160">
        <v>6</v>
      </c>
      <c r="M2" s="160">
        <v>7</v>
      </c>
      <c r="N2" s="160">
        <v>8</v>
      </c>
      <c r="O2" s="160">
        <v>9</v>
      </c>
      <c r="P2" s="160">
        <v>10</v>
      </c>
      <c r="Q2" s="160">
        <v>11</v>
      </c>
      <c r="R2" s="160">
        <v>12</v>
      </c>
      <c r="S2" s="160">
        <v>13</v>
      </c>
      <c r="T2" s="160">
        <v>14</v>
      </c>
      <c r="U2" s="160">
        <v>15</v>
      </c>
      <c r="V2" s="160">
        <v>16</v>
      </c>
      <c r="W2" s="160">
        <v>17</v>
      </c>
      <c r="X2" s="160">
        <v>18</v>
      </c>
      <c r="Y2" s="160">
        <v>19</v>
      </c>
      <c r="Z2" s="160">
        <v>20</v>
      </c>
      <c r="AA2" s="160">
        <v>21</v>
      </c>
      <c r="AB2" s="160">
        <v>22</v>
      </c>
      <c r="AC2" s="160">
        <v>23</v>
      </c>
      <c r="AD2" s="160">
        <v>24</v>
      </c>
      <c r="AE2" s="160">
        <v>25</v>
      </c>
      <c r="AF2" s="160">
        <v>26</v>
      </c>
      <c r="AG2" s="160">
        <v>27</v>
      </c>
      <c r="AH2" s="160">
        <v>28</v>
      </c>
      <c r="AI2" s="160">
        <v>29</v>
      </c>
      <c r="AJ2" s="160">
        <v>30</v>
      </c>
      <c r="AK2" s="160">
        <v>31</v>
      </c>
      <c r="AL2" s="211" t="s">
        <v>133</v>
      </c>
      <c r="AM2" s="117"/>
      <c r="AN2" s="224" t="s">
        <v>134</v>
      </c>
      <c r="AO2" s="189" t="s">
        <v>137</v>
      </c>
      <c r="AP2" s="189"/>
      <c r="AQ2" s="114" t="s">
        <v>135</v>
      </c>
      <c r="AR2" s="189" t="s">
        <v>136</v>
      </c>
    </row>
    <row r="3" spans="1:40" s="153" customFormat="1" ht="23.25" hidden="1">
      <c r="A3" s="153" t="s">
        <v>31</v>
      </c>
      <c r="B3" s="153" t="s">
        <v>41</v>
      </c>
      <c r="D3" s="154" t="s">
        <v>31</v>
      </c>
      <c r="E3" s="155"/>
      <c r="F3" s="156">
        <v>0</v>
      </c>
      <c r="G3" s="162"/>
      <c r="H3" s="162"/>
      <c r="I3" s="162">
        <f>384598+23184.52-80539-327243.52</f>
        <v>0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209">
        <f>(F3)+SUM(G3:AK3)</f>
        <v>0</v>
      </c>
      <c r="AM3" s="156"/>
      <c r="AN3" s="223"/>
    </row>
    <row r="4" spans="1:41" s="118" customFormat="1" ht="23.25" hidden="1">
      <c r="A4" s="118">
        <v>1101010101</v>
      </c>
      <c r="B4" s="119" t="s">
        <v>31</v>
      </c>
      <c r="C4" s="119"/>
      <c r="D4" s="120"/>
      <c r="E4" s="121"/>
      <c r="F4" s="122">
        <v>0</v>
      </c>
      <c r="G4" s="161"/>
      <c r="H4" s="162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209">
        <f aca="true" t="shared" si="0" ref="AL4:AL54">(F4)+SUM(G4:AK4)</f>
        <v>0</v>
      </c>
      <c r="AM4" s="122"/>
      <c r="AN4" s="225"/>
      <c r="AO4" s="114"/>
    </row>
    <row r="5" spans="2:41" s="118" customFormat="1" ht="23.25" hidden="1">
      <c r="B5" s="119" t="s">
        <v>32</v>
      </c>
      <c r="C5" s="119"/>
      <c r="D5" s="120"/>
      <c r="E5" s="121"/>
      <c r="F5" s="122"/>
      <c r="G5" s="161"/>
      <c r="H5" s="162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209">
        <f t="shared" si="0"/>
        <v>0</v>
      </c>
      <c r="AM5" s="122"/>
      <c r="AN5" s="225"/>
      <c r="AO5" s="114"/>
    </row>
    <row r="6" spans="2:40" s="114" customFormat="1" ht="23.25" hidden="1">
      <c r="B6" s="123"/>
      <c r="C6" s="123"/>
      <c r="D6" s="115"/>
      <c r="E6" s="116"/>
      <c r="F6" s="117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209">
        <f t="shared" si="0"/>
        <v>0</v>
      </c>
      <c r="AM6" s="117"/>
      <c r="AN6" s="223"/>
    </row>
    <row r="7" spans="2:40" s="114" customFormat="1" ht="23.25" hidden="1">
      <c r="B7" s="114" t="s">
        <v>40</v>
      </c>
      <c r="C7" s="123"/>
      <c r="D7" s="115"/>
      <c r="E7" s="116"/>
      <c r="F7" s="117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209">
        <f t="shared" si="0"/>
        <v>0</v>
      </c>
      <c r="AM7" s="117"/>
      <c r="AN7" s="223"/>
    </row>
    <row r="8" spans="2:40" s="114" customFormat="1" ht="23.25" hidden="1">
      <c r="B8" s="123" t="s">
        <v>33</v>
      </c>
      <c r="C8" s="123"/>
      <c r="D8" s="115"/>
      <c r="E8" s="116"/>
      <c r="F8" s="117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209">
        <f t="shared" si="0"/>
        <v>0</v>
      </c>
      <c r="AM8" s="117"/>
      <c r="AN8" s="223"/>
    </row>
    <row r="9" spans="2:40" s="114" customFormat="1" ht="23.25" hidden="1">
      <c r="B9" s="123" t="s">
        <v>42</v>
      </c>
      <c r="C9" s="123"/>
      <c r="D9" s="115"/>
      <c r="E9" s="116"/>
      <c r="F9" s="117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209">
        <f t="shared" si="0"/>
        <v>0</v>
      </c>
      <c r="AM9" s="117"/>
      <c r="AN9" s="223"/>
    </row>
    <row r="10" spans="2:41" s="118" customFormat="1" ht="23.25" hidden="1">
      <c r="B10" s="119"/>
      <c r="C10" s="119"/>
      <c r="D10" s="120"/>
      <c r="E10" s="121"/>
      <c r="F10" s="117"/>
      <c r="G10" s="161"/>
      <c r="H10" s="162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209">
        <f t="shared" si="0"/>
        <v>0</v>
      </c>
      <c r="AM10" s="122"/>
      <c r="AN10" s="225"/>
      <c r="AO10" s="114"/>
    </row>
    <row r="11" spans="2:41" s="118" customFormat="1" ht="23.25" hidden="1">
      <c r="B11" s="119"/>
      <c r="C11" s="119"/>
      <c r="D11" s="120"/>
      <c r="E11" s="121"/>
      <c r="F11" s="122"/>
      <c r="G11" s="161"/>
      <c r="H11" s="162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209">
        <f t="shared" si="0"/>
        <v>0</v>
      </c>
      <c r="AM11" s="122"/>
      <c r="AN11" s="225"/>
      <c r="AO11" s="114"/>
    </row>
    <row r="12" spans="1:40" s="114" customFormat="1" ht="23.25" hidden="1">
      <c r="A12" s="114" t="s">
        <v>72</v>
      </c>
      <c r="B12" s="114" t="s">
        <v>0</v>
      </c>
      <c r="D12" s="115"/>
      <c r="E12" s="116"/>
      <c r="F12" s="117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209">
        <f t="shared" si="0"/>
        <v>0</v>
      </c>
      <c r="AM12" s="117"/>
      <c r="AN12" s="223"/>
    </row>
    <row r="13" spans="1:38" ht="23.25" hidden="1">
      <c r="A13" s="124">
        <v>1101030101</v>
      </c>
      <c r="B13" s="125" t="s">
        <v>39</v>
      </c>
      <c r="D13" s="126">
        <v>9326000028</v>
      </c>
      <c r="E13" s="127" t="s">
        <v>4</v>
      </c>
      <c r="AL13" s="209">
        <f t="shared" si="0"/>
        <v>0</v>
      </c>
    </row>
    <row r="14" spans="1:38" ht="23.25" hidden="1">
      <c r="A14" s="124">
        <v>1101030101</v>
      </c>
      <c r="B14" s="125" t="s">
        <v>2</v>
      </c>
      <c r="D14" s="126">
        <v>9326001040</v>
      </c>
      <c r="E14" s="127" t="s">
        <v>9</v>
      </c>
      <c r="AL14" s="209">
        <f t="shared" si="0"/>
        <v>0</v>
      </c>
    </row>
    <row r="15" spans="1:38" ht="23.25" hidden="1">
      <c r="A15" s="124">
        <v>1101030101</v>
      </c>
      <c r="B15" s="125" t="s">
        <v>2</v>
      </c>
      <c r="D15" s="126">
        <v>9326005097</v>
      </c>
      <c r="E15" s="127" t="s">
        <v>10</v>
      </c>
      <c r="AL15" s="209">
        <f t="shared" si="0"/>
        <v>0</v>
      </c>
    </row>
    <row r="16" spans="1:38" ht="23.25" hidden="1">
      <c r="A16" s="124">
        <v>1101030101</v>
      </c>
      <c r="B16" s="125" t="s">
        <v>2</v>
      </c>
      <c r="D16" s="126">
        <v>9326012476</v>
      </c>
      <c r="E16" s="127" t="s">
        <v>11</v>
      </c>
      <c r="AL16" s="209">
        <f t="shared" si="0"/>
        <v>0</v>
      </c>
    </row>
    <row r="17" spans="1:38" ht="23.25" hidden="1">
      <c r="A17" s="124">
        <v>1101030101</v>
      </c>
      <c r="B17" s="125" t="s">
        <v>14</v>
      </c>
      <c r="D17" s="129" t="s">
        <v>44</v>
      </c>
      <c r="E17" s="130" t="s">
        <v>49</v>
      </c>
      <c r="AL17" s="209">
        <f t="shared" si="0"/>
        <v>0</v>
      </c>
    </row>
    <row r="18" spans="1:43" s="205" customFormat="1" ht="23.25">
      <c r="A18" s="204">
        <v>1101030101</v>
      </c>
      <c r="D18" s="206">
        <v>9326016978</v>
      </c>
      <c r="E18" s="207" t="s">
        <v>142</v>
      </c>
      <c r="F18" s="166">
        <v>126300</v>
      </c>
      <c r="G18" s="163"/>
      <c r="H18" s="164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>
        <v>400</v>
      </c>
      <c r="AI18" s="163">
        <v>600</v>
      </c>
      <c r="AJ18" s="163">
        <v>800</v>
      </c>
      <c r="AK18" s="163"/>
      <c r="AL18" s="209">
        <f t="shared" si="0"/>
        <v>128100</v>
      </c>
      <c r="AM18" s="208"/>
      <c r="AN18" s="222">
        <v>128100</v>
      </c>
      <c r="AO18" s="221">
        <f>AN18-AL18</f>
        <v>0</v>
      </c>
      <c r="AP18" s="204"/>
      <c r="AQ18" s="151">
        <f>AL18+AO18</f>
        <v>128100</v>
      </c>
    </row>
    <row r="19" spans="1:43" s="244" customFormat="1" ht="23.25">
      <c r="A19" s="245"/>
      <c r="D19" s="246"/>
      <c r="E19" s="247" t="s">
        <v>130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3">
        <f>-1513093.53</f>
        <v>-1513093.53</v>
      </c>
      <c r="AM19" s="242"/>
      <c r="AN19" s="242">
        <v>0</v>
      </c>
      <c r="AO19" s="253">
        <f aca="true" t="shared" si="1" ref="AO19:AO54">AN19-AL19</f>
        <v>1513093.53</v>
      </c>
      <c r="AP19" s="245" t="s">
        <v>93</v>
      </c>
      <c r="AQ19" s="251">
        <f>AL19+AO19</f>
        <v>0</v>
      </c>
    </row>
    <row r="20" spans="1:43" s="244" customFormat="1" ht="23.25">
      <c r="A20" s="245" t="s">
        <v>12</v>
      </c>
      <c r="B20" s="245" t="s">
        <v>0</v>
      </c>
      <c r="C20" s="245"/>
      <c r="D20" s="246"/>
      <c r="E20" s="247" t="s">
        <v>149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3">
        <v>-1047.66</v>
      </c>
      <c r="AM20" s="242"/>
      <c r="AN20" s="242">
        <v>0</v>
      </c>
      <c r="AO20" s="253">
        <f t="shared" si="1"/>
        <v>1047.66</v>
      </c>
      <c r="AP20" s="245" t="s">
        <v>93</v>
      </c>
      <c r="AQ20" s="251">
        <f>AL20+AO20</f>
        <v>0</v>
      </c>
    </row>
    <row r="21" spans="1:44" ht="23.25">
      <c r="A21" s="124">
        <v>1101030102</v>
      </c>
      <c r="B21" s="125" t="s">
        <v>2</v>
      </c>
      <c r="C21" s="111" t="s">
        <v>86</v>
      </c>
      <c r="D21" s="187">
        <v>9321080872</v>
      </c>
      <c r="E21" s="127" t="s">
        <v>5</v>
      </c>
      <c r="F21" s="128">
        <v>76944722.42</v>
      </c>
      <c r="G21" s="163">
        <f>-2208050.62-132901.21+125047+9540</f>
        <v>-2206364.83</v>
      </c>
      <c r="H21" s="163">
        <f>123232-261615.92+139695.66</f>
        <v>1311.7399999999907</v>
      </c>
      <c r="K21" s="163">
        <f>-96948.04-110384.91+322141+700</f>
        <v>115508.04999999999</v>
      </c>
      <c r="L21" s="163">
        <f>135418+49870+70791.09+284880-312639.57+76112</f>
        <v>304431.51999999996</v>
      </c>
      <c r="M21" s="163">
        <f>9976+4941+15200-1050220.13-144155.75+281268.81+121811.67</f>
        <v>-761178.3999999998</v>
      </c>
      <c r="N21" s="163">
        <f>42166+341647+189509.29-243773.15-41280.56</f>
        <v>288268.58</v>
      </c>
      <c r="O21" s="163">
        <f>1600-668944.71-150084.1+3006601.58+196189</f>
        <v>2385361.77</v>
      </c>
      <c r="R21" s="163">
        <f>337452.73+100198+66855+258850+614172.8+168853.33-30-467885.98+820914</f>
        <v>1899379.8800000001</v>
      </c>
      <c r="S21" s="163">
        <f>21042+102568-1282783.65-101225.05+209950.12+106331.65</f>
        <v>-944116.93</v>
      </c>
      <c r="T21" s="163">
        <f>101314.3+148000-811698.14-34768+236113+35300</f>
        <v>-325738.8400000001</v>
      </c>
      <c r="U21" s="163">
        <f>-710569.69-64927.48+144122+70576.64</f>
        <v>-560798.5299999999</v>
      </c>
      <c r="V21" s="163">
        <f>186194+9218584-528126.27-73853.27+94343</f>
        <v>8897141.46</v>
      </c>
      <c r="X21" s="164"/>
      <c r="Y21" s="163">
        <f>19140+148220-261532.71-47898.13+496620</f>
        <v>354549.16000000003</v>
      </c>
      <c r="Z21" s="163">
        <f>-504369.79-178317.76+197190</f>
        <v>-485497.55000000005</v>
      </c>
      <c r="AA21" s="163">
        <f>2050+1080-2973758.75-43588.78+190568.48+59708</f>
        <v>-2763941.05</v>
      </c>
      <c r="AB21" s="163">
        <f>35685-2163548.76-46730.15+264918.02+30000</f>
        <v>-1879675.8899999997</v>
      </c>
      <c r="AC21" s="163">
        <f>27440+138026-355633.61-19813.08+211970.49+17358</f>
        <v>19347.79999999999</v>
      </c>
      <c r="AG21" s="163">
        <f>-7776848.23+271747+35832</f>
        <v>-7469269.23</v>
      </c>
      <c r="AH21" s="163">
        <f>1200+175890-3660794.65+81176+66961.26</f>
        <v>-3335567.39</v>
      </c>
      <c r="AI21" s="163">
        <f>-945327.18-1181672.76+105424+13104853.45</f>
        <v>11083277.51</v>
      </c>
      <c r="AJ21" s="163">
        <f>10215+73363+1000-715220.5+181314+2150</f>
        <v>-447178.5</v>
      </c>
      <c r="AL21" s="209">
        <v>80113972.75</v>
      </c>
      <c r="AN21" s="226">
        <v>72593161.11</v>
      </c>
      <c r="AO21" s="221">
        <f t="shared" si="1"/>
        <v>-7520811.640000001</v>
      </c>
      <c r="AP21" s="124" t="s">
        <v>92</v>
      </c>
      <c r="AQ21" s="151">
        <f>AL21+AO21</f>
        <v>72593161.11</v>
      </c>
      <c r="AR21" s="151">
        <f>AN21-AQ21</f>
        <v>0</v>
      </c>
    </row>
    <row r="22" spans="1:44" ht="23.25">
      <c r="A22" s="124">
        <v>1101030102</v>
      </c>
      <c r="B22" s="125" t="s">
        <v>15</v>
      </c>
      <c r="C22" s="111" t="s">
        <v>50</v>
      </c>
      <c r="D22" s="126">
        <v>9091058013</v>
      </c>
      <c r="E22" s="127" t="s">
        <v>6</v>
      </c>
      <c r="F22" s="128">
        <v>1832673.27</v>
      </c>
      <c r="AL22" s="209">
        <f t="shared" si="0"/>
        <v>1832673.27</v>
      </c>
      <c r="AN22" s="222">
        <v>1836095.24</v>
      </c>
      <c r="AO22" s="221">
        <f t="shared" si="1"/>
        <v>3421.969999999972</v>
      </c>
      <c r="AP22" s="124" t="s">
        <v>93</v>
      </c>
      <c r="AQ22" s="151">
        <f aca="true" t="shared" si="2" ref="AQ22:AQ54">AL22+AO22</f>
        <v>1836095.24</v>
      </c>
      <c r="AR22" s="151">
        <f aca="true" t="shared" si="3" ref="AR22:AR55">AN22-AQ22</f>
        <v>0</v>
      </c>
    </row>
    <row r="23" spans="1:44" ht="23.25">
      <c r="A23" s="124">
        <v>1101030102</v>
      </c>
      <c r="B23" s="125" t="s">
        <v>2</v>
      </c>
      <c r="C23" s="111" t="s">
        <v>51</v>
      </c>
      <c r="D23" s="126">
        <v>9321044531</v>
      </c>
      <c r="E23" s="127" t="s">
        <v>7</v>
      </c>
      <c r="F23" s="128">
        <v>12744.51</v>
      </c>
      <c r="AL23" s="209">
        <f t="shared" si="0"/>
        <v>12744.51</v>
      </c>
      <c r="AN23" s="222">
        <v>12794.03</v>
      </c>
      <c r="AO23" s="221">
        <f t="shared" si="1"/>
        <v>49.52000000000044</v>
      </c>
      <c r="AP23" s="124" t="s">
        <v>93</v>
      </c>
      <c r="AQ23" s="151">
        <f t="shared" si="2"/>
        <v>12794.03</v>
      </c>
      <c r="AR23" s="151">
        <f t="shared" si="3"/>
        <v>0</v>
      </c>
    </row>
    <row r="24" spans="1:44" s="216" customFormat="1" ht="23.25">
      <c r="A24" s="215">
        <v>1101030102</v>
      </c>
      <c r="B24" s="216" t="s">
        <v>15</v>
      </c>
      <c r="C24" s="217" t="s">
        <v>52</v>
      </c>
      <c r="D24" s="218">
        <v>9092199648</v>
      </c>
      <c r="E24" s="219" t="s">
        <v>8</v>
      </c>
      <c r="F24" s="159">
        <v>172380.83000000007</v>
      </c>
      <c r="G24" s="227"/>
      <c r="H24" s="158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09">
        <f t="shared" si="0"/>
        <v>172380.83000000007</v>
      </c>
      <c r="AM24" s="159"/>
      <c r="AN24" s="227">
        <v>172380.83</v>
      </c>
      <c r="AO24" s="221">
        <f t="shared" si="1"/>
        <v>0</v>
      </c>
      <c r="AP24" s="215"/>
      <c r="AQ24" s="220">
        <f t="shared" si="2"/>
        <v>172380.83000000007</v>
      </c>
      <c r="AR24" s="220">
        <f t="shared" si="3"/>
        <v>0</v>
      </c>
    </row>
    <row r="25" spans="1:44" ht="23.25">
      <c r="A25" s="124">
        <v>1101030102</v>
      </c>
      <c r="B25" s="125" t="s">
        <v>13</v>
      </c>
      <c r="C25" s="111" t="s">
        <v>143</v>
      </c>
      <c r="D25" s="129" t="s">
        <v>128</v>
      </c>
      <c r="E25" s="207" t="s">
        <v>147</v>
      </c>
      <c r="F25" s="128">
        <v>21389577.19</v>
      </c>
      <c r="G25" s="163">
        <v>-1120387.31</v>
      </c>
      <c r="K25" s="163">
        <v>-392706.22</v>
      </c>
      <c r="M25" s="163">
        <f>-453325.9</f>
        <v>-453325.9</v>
      </c>
      <c r="N25" s="163">
        <v>-121904.95</v>
      </c>
      <c r="O25" s="163">
        <v>-402602.24</v>
      </c>
      <c r="R25" s="163">
        <v>-1417845.68</v>
      </c>
      <c r="S25" s="163">
        <v>-897866.55</v>
      </c>
      <c r="T25" s="163">
        <f>-90139.62</f>
        <v>-90139.62</v>
      </c>
      <c r="U25" s="163">
        <v>-48294.39</v>
      </c>
      <c r="V25" s="163">
        <v>-46709.35</v>
      </c>
      <c r="Y25" s="163">
        <v>-14859.81</v>
      </c>
      <c r="Z25" s="163">
        <v>-509691.59</v>
      </c>
      <c r="AA25" s="163">
        <v>-791294.94</v>
      </c>
      <c r="AB25" s="163">
        <v>-515094.12</v>
      </c>
      <c r="AC25" s="163">
        <v>-660777.25</v>
      </c>
      <c r="AL25" s="209">
        <f>-5970406.39</f>
        <v>-5970406.39</v>
      </c>
      <c r="AN25" s="222">
        <v>13906077.27</v>
      </c>
      <c r="AO25" s="221">
        <f t="shared" si="1"/>
        <v>19876483.66</v>
      </c>
      <c r="AP25" s="124" t="s">
        <v>93</v>
      </c>
      <c r="AQ25" s="151">
        <f t="shared" si="2"/>
        <v>13906077.27</v>
      </c>
      <c r="AR25" s="151">
        <f t="shared" si="3"/>
        <v>0</v>
      </c>
    </row>
    <row r="26" spans="1:44" ht="23.25">
      <c r="A26" s="124">
        <v>1101030102</v>
      </c>
      <c r="B26" s="125" t="s">
        <v>2</v>
      </c>
      <c r="C26" s="111" t="s">
        <v>53</v>
      </c>
      <c r="D26" s="126">
        <v>9321151400</v>
      </c>
      <c r="E26" s="127" t="s">
        <v>17</v>
      </c>
      <c r="F26" s="128">
        <v>15758.41</v>
      </c>
      <c r="AL26" s="209">
        <f t="shared" si="0"/>
        <v>15758.41</v>
      </c>
      <c r="AN26" s="222">
        <v>15793.57</v>
      </c>
      <c r="AO26" s="221">
        <f t="shared" si="1"/>
        <v>35.159999999999854</v>
      </c>
      <c r="AP26" s="124" t="s">
        <v>93</v>
      </c>
      <c r="AQ26" s="151">
        <f t="shared" si="2"/>
        <v>15793.57</v>
      </c>
      <c r="AR26" s="151">
        <f t="shared" si="3"/>
        <v>0</v>
      </c>
    </row>
    <row r="27" spans="1:44" ht="23.25">
      <c r="A27" s="124">
        <v>1101030102</v>
      </c>
      <c r="B27" s="125" t="s">
        <v>2</v>
      </c>
      <c r="C27" s="111" t="s">
        <v>54</v>
      </c>
      <c r="D27" s="126">
        <v>9321484736</v>
      </c>
      <c r="E27" s="127" t="s">
        <v>19</v>
      </c>
      <c r="F27" s="128">
        <v>0</v>
      </c>
      <c r="AL27" s="209">
        <f t="shared" si="0"/>
        <v>0</v>
      </c>
      <c r="AO27" s="221">
        <f t="shared" si="1"/>
        <v>0</v>
      </c>
      <c r="AQ27" s="151">
        <f t="shared" si="2"/>
        <v>0</v>
      </c>
      <c r="AR27" s="151">
        <f t="shared" si="3"/>
        <v>0</v>
      </c>
    </row>
    <row r="28" spans="1:44" ht="23.25">
      <c r="A28" s="124">
        <v>1101030102</v>
      </c>
      <c r="B28" s="125" t="s">
        <v>2</v>
      </c>
      <c r="C28" s="111" t="s">
        <v>55</v>
      </c>
      <c r="D28" s="126">
        <v>9321441107</v>
      </c>
      <c r="E28" s="127" t="s">
        <v>20</v>
      </c>
      <c r="F28" s="128">
        <v>41839.74</v>
      </c>
      <c r="AL28" s="209">
        <f t="shared" si="0"/>
        <v>41839.74</v>
      </c>
      <c r="AN28" s="222">
        <v>41917.54</v>
      </c>
      <c r="AO28" s="221">
        <f t="shared" si="1"/>
        <v>77.80000000000291</v>
      </c>
      <c r="AP28" s="124" t="s">
        <v>93</v>
      </c>
      <c r="AQ28" s="151">
        <f t="shared" si="2"/>
        <v>41917.54</v>
      </c>
      <c r="AR28" s="151">
        <f t="shared" si="3"/>
        <v>0</v>
      </c>
    </row>
    <row r="29" spans="1:44" ht="23.25">
      <c r="A29" s="124">
        <v>1101030102</v>
      </c>
      <c r="B29" s="125" t="s">
        <v>2</v>
      </c>
      <c r="C29" s="111" t="s">
        <v>77</v>
      </c>
      <c r="D29" s="126">
        <v>9321441638</v>
      </c>
      <c r="E29" s="127" t="s">
        <v>21</v>
      </c>
      <c r="F29" s="128">
        <v>3906.59</v>
      </c>
      <c r="AL29" s="209">
        <f t="shared" si="0"/>
        <v>3906.59</v>
      </c>
      <c r="AN29" s="222">
        <v>3913.86</v>
      </c>
      <c r="AO29" s="221">
        <f t="shared" si="1"/>
        <v>7.269999999999982</v>
      </c>
      <c r="AP29" s="124" t="s">
        <v>93</v>
      </c>
      <c r="AQ29" s="151">
        <f t="shared" si="2"/>
        <v>3913.86</v>
      </c>
      <c r="AR29" s="151">
        <f t="shared" si="3"/>
        <v>0</v>
      </c>
    </row>
    <row r="30" spans="1:44" ht="23.25">
      <c r="A30" s="124">
        <v>1101030102</v>
      </c>
      <c r="B30" s="125" t="s">
        <v>2</v>
      </c>
      <c r="C30" s="111" t="s">
        <v>56</v>
      </c>
      <c r="D30" s="126">
        <v>9321474838</v>
      </c>
      <c r="E30" s="127" t="s">
        <v>22</v>
      </c>
      <c r="F30" s="128">
        <v>4378.95</v>
      </c>
      <c r="AL30" s="209">
        <f t="shared" si="0"/>
        <v>4378.95</v>
      </c>
      <c r="AN30" s="222">
        <v>4387.09</v>
      </c>
      <c r="AO30" s="221">
        <f t="shared" si="1"/>
        <v>8.140000000000327</v>
      </c>
      <c r="AP30" s="124" t="s">
        <v>93</v>
      </c>
      <c r="AQ30" s="151">
        <f t="shared" si="2"/>
        <v>4387.09</v>
      </c>
      <c r="AR30" s="151">
        <f t="shared" si="3"/>
        <v>0</v>
      </c>
    </row>
    <row r="31" spans="1:44" ht="23.25">
      <c r="A31" s="124">
        <v>1101030102</v>
      </c>
      <c r="B31" s="125" t="s">
        <v>2</v>
      </c>
      <c r="C31" s="111" t="s">
        <v>57</v>
      </c>
      <c r="D31" s="126">
        <v>9320023573</v>
      </c>
      <c r="E31" s="127" t="s">
        <v>23</v>
      </c>
      <c r="F31" s="128">
        <v>100884.08</v>
      </c>
      <c r="AL31" s="209">
        <f t="shared" si="0"/>
        <v>100884.08</v>
      </c>
      <c r="AN31" s="222">
        <v>101071.68</v>
      </c>
      <c r="AO31" s="221">
        <f t="shared" si="1"/>
        <v>187.59999999999127</v>
      </c>
      <c r="AP31" s="124" t="s">
        <v>93</v>
      </c>
      <c r="AQ31" s="151">
        <f t="shared" si="2"/>
        <v>101071.68</v>
      </c>
      <c r="AR31" s="151">
        <f t="shared" si="3"/>
        <v>0</v>
      </c>
    </row>
    <row r="32" spans="1:44" s="137" customFormat="1" ht="23.25">
      <c r="A32" s="136">
        <v>1101030102</v>
      </c>
      <c r="B32" s="137" t="s">
        <v>2</v>
      </c>
      <c r="C32" s="112" t="s">
        <v>58</v>
      </c>
      <c r="D32" s="138">
        <v>9321188886</v>
      </c>
      <c r="E32" s="139" t="s">
        <v>24</v>
      </c>
      <c r="F32" s="140">
        <v>0</v>
      </c>
      <c r="G32" s="165"/>
      <c r="H32" s="237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209">
        <f t="shared" si="0"/>
        <v>0</v>
      </c>
      <c r="AM32" s="140"/>
      <c r="AN32" s="228"/>
      <c r="AO32" s="221">
        <f t="shared" si="1"/>
        <v>0</v>
      </c>
      <c r="AP32" s="136"/>
      <c r="AQ32" s="151">
        <f t="shared" si="2"/>
        <v>0</v>
      </c>
      <c r="AR32" s="151">
        <f t="shared" si="3"/>
        <v>0</v>
      </c>
    </row>
    <row r="33" spans="1:44" ht="23.25">
      <c r="A33" s="124">
        <v>1101030102</v>
      </c>
      <c r="B33" s="125" t="s">
        <v>2</v>
      </c>
      <c r="C33" s="111" t="s">
        <v>48</v>
      </c>
      <c r="D33" s="187">
        <v>9321108904</v>
      </c>
      <c r="E33" s="127" t="s">
        <v>25</v>
      </c>
      <c r="F33" s="128">
        <v>13303168.18</v>
      </c>
      <c r="H33" s="164">
        <v>-26747.66</v>
      </c>
      <c r="M33" s="163">
        <f>-1047.66</f>
        <v>-1047.66</v>
      </c>
      <c r="O33" s="163">
        <v>-6420328.58</v>
      </c>
      <c r="T33" s="163">
        <v>-139087.85</v>
      </c>
      <c r="U33" s="163">
        <v>-2334938</v>
      </c>
      <c r="AI33" s="163">
        <f>-2466160</f>
        <v>-2466160</v>
      </c>
      <c r="AL33" s="209">
        <v>1915906.09</v>
      </c>
      <c r="AN33" s="222">
        <v>1932964.86</v>
      </c>
      <c r="AO33" s="221">
        <f t="shared" si="1"/>
        <v>17058.77000000002</v>
      </c>
      <c r="AP33" s="124" t="s">
        <v>93</v>
      </c>
      <c r="AQ33" s="151">
        <f t="shared" si="2"/>
        <v>1932964.86</v>
      </c>
      <c r="AR33" s="151">
        <f t="shared" si="3"/>
        <v>0</v>
      </c>
    </row>
    <row r="34" spans="1:44" s="137" customFormat="1" ht="23.25">
      <c r="A34" s="136">
        <v>1101030102</v>
      </c>
      <c r="B34" s="137" t="s">
        <v>14</v>
      </c>
      <c r="C34" s="112" t="s">
        <v>59</v>
      </c>
      <c r="D34" s="141" t="s">
        <v>16</v>
      </c>
      <c r="E34" s="139" t="s">
        <v>26</v>
      </c>
      <c r="F34" s="142">
        <v>0</v>
      </c>
      <c r="G34" s="165"/>
      <c r="H34" s="237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209">
        <f t="shared" si="0"/>
        <v>0</v>
      </c>
      <c r="AM34" s="140"/>
      <c r="AN34" s="228"/>
      <c r="AO34" s="221">
        <f t="shared" si="1"/>
        <v>0</v>
      </c>
      <c r="AP34" s="136"/>
      <c r="AQ34" s="151">
        <f t="shared" si="2"/>
        <v>0</v>
      </c>
      <c r="AR34" s="151">
        <f t="shared" si="3"/>
        <v>0</v>
      </c>
    </row>
    <row r="35" spans="1:44" s="135" customFormat="1" ht="23.25">
      <c r="A35" s="132">
        <v>1101030102</v>
      </c>
      <c r="B35" s="135" t="s">
        <v>14</v>
      </c>
      <c r="C35" s="113" t="s">
        <v>76</v>
      </c>
      <c r="D35" s="188" t="s">
        <v>60</v>
      </c>
      <c r="E35" s="143" t="s">
        <v>27</v>
      </c>
      <c r="F35" s="131">
        <v>134875158.55</v>
      </c>
      <c r="G35" s="164"/>
      <c r="H35" s="164">
        <f>78250-329887.85</f>
        <v>-251637.84999999998</v>
      </c>
      <c r="I35" s="164"/>
      <c r="J35" s="164"/>
      <c r="K35" s="164"/>
      <c r="L35" s="164"/>
      <c r="M35" s="164">
        <f>422075+1375500-723.36</f>
        <v>1796851.64</v>
      </c>
      <c r="N35" s="164">
        <f>2077784.25+1401016</f>
        <v>3478800.25</v>
      </c>
      <c r="O35" s="164">
        <v>10290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>
        <f>5400-222872.43</f>
        <v>-217472.43</v>
      </c>
      <c r="Z35" s="164"/>
      <c r="AA35" s="164"/>
      <c r="AB35" s="164">
        <v>-267747.52</v>
      </c>
      <c r="AC35" s="164">
        <v>-46596.41</v>
      </c>
      <c r="AD35" s="164"/>
      <c r="AE35" s="164"/>
      <c r="AF35" s="164"/>
      <c r="AG35" s="164"/>
      <c r="AH35" s="164">
        <f>48000+153090-26747.66</f>
        <v>174342.34</v>
      </c>
      <c r="AI35" s="164">
        <f>-355005.89-13104853.45</f>
        <v>-13459859.34</v>
      </c>
      <c r="AJ35" s="164">
        <f>48950+618623+2217034.6+479325+283624.68+11885375.12+19747704</f>
        <v>35280636.4</v>
      </c>
      <c r="AK35" s="164"/>
      <c r="AL35" s="209">
        <v>182762342.82</v>
      </c>
      <c r="AM35" s="131"/>
      <c r="AN35" s="226">
        <v>161310395.63</v>
      </c>
      <c r="AO35" s="221">
        <f t="shared" si="1"/>
        <v>-21451947.189999998</v>
      </c>
      <c r="AP35" s="132" t="s">
        <v>92</v>
      </c>
      <c r="AQ35" s="151">
        <f t="shared" si="2"/>
        <v>161310395.63</v>
      </c>
      <c r="AR35" s="151">
        <f t="shared" si="3"/>
        <v>0</v>
      </c>
    </row>
    <row r="36" spans="1:44" ht="23.25">
      <c r="A36" s="124">
        <v>1101030102</v>
      </c>
      <c r="B36" s="125" t="s">
        <v>2</v>
      </c>
      <c r="C36" s="111" t="s">
        <v>61</v>
      </c>
      <c r="D36" s="187">
        <v>9320115583</v>
      </c>
      <c r="E36" s="127" t="s">
        <v>28</v>
      </c>
      <c r="F36" s="144">
        <v>16158377.17</v>
      </c>
      <c r="G36" s="163">
        <v>5050</v>
      </c>
      <c r="H36" s="164">
        <v>-339050</v>
      </c>
      <c r="K36" s="163">
        <f>-26943.29+1005.74</f>
        <v>-25937.55</v>
      </c>
      <c r="M36" s="163">
        <f>-1703.09</f>
        <v>-1703.09</v>
      </c>
      <c r="O36" s="163">
        <f>-59880</f>
        <v>-59880</v>
      </c>
      <c r="R36" s="163">
        <v>-45513.22</v>
      </c>
      <c r="S36" s="163">
        <f>-3770+63250</f>
        <v>59480</v>
      </c>
      <c r="T36" s="163">
        <v>750</v>
      </c>
      <c r="V36" s="163">
        <f>-12281.8+500</f>
        <v>-11781.8</v>
      </c>
      <c r="Y36" s="163">
        <v>-2764.8</v>
      </c>
      <c r="Z36" s="163">
        <v>278520</v>
      </c>
      <c r="AA36" s="163">
        <v>-2200</v>
      </c>
      <c r="AC36" s="163">
        <v>-165963</v>
      </c>
      <c r="AL36" s="209">
        <f t="shared" si="0"/>
        <v>15847383.71</v>
      </c>
      <c r="AN36" s="222">
        <v>15497010.77</v>
      </c>
      <c r="AO36" s="221">
        <f t="shared" si="1"/>
        <v>-350372.94000000134</v>
      </c>
      <c r="AP36" s="132" t="s">
        <v>92</v>
      </c>
      <c r="AQ36" s="151">
        <f t="shared" si="2"/>
        <v>15497010.77</v>
      </c>
      <c r="AR36" s="151">
        <f t="shared" si="3"/>
        <v>0</v>
      </c>
    </row>
    <row r="37" spans="1:44" ht="23.25">
      <c r="A37" s="124">
        <v>1101030102</v>
      </c>
      <c r="B37" s="125" t="s">
        <v>2</v>
      </c>
      <c r="C37" s="111" t="s">
        <v>62</v>
      </c>
      <c r="D37" s="126">
        <v>9320261059</v>
      </c>
      <c r="E37" s="127" t="s">
        <v>29</v>
      </c>
      <c r="F37" s="128">
        <v>48445935.63</v>
      </c>
      <c r="O37" s="163">
        <v>2475621.27</v>
      </c>
      <c r="AG37" s="163">
        <f>-2469615.19</f>
        <v>-2469615.19</v>
      </c>
      <c r="AL37" s="209">
        <f t="shared" si="0"/>
        <v>48451941.71</v>
      </c>
      <c r="AN37" s="222">
        <v>48556209.07</v>
      </c>
      <c r="AO37" s="221">
        <f t="shared" si="1"/>
        <v>104267.3599999994</v>
      </c>
      <c r="AP37" s="124" t="s">
        <v>93</v>
      </c>
      <c r="AQ37" s="151">
        <f t="shared" si="2"/>
        <v>48556209.07</v>
      </c>
      <c r="AR37" s="151">
        <f t="shared" si="3"/>
        <v>0</v>
      </c>
    </row>
    <row r="38" spans="1:44" ht="23.25">
      <c r="A38" s="124">
        <v>1101030102</v>
      </c>
      <c r="B38" s="125" t="s">
        <v>2</v>
      </c>
      <c r="C38" s="111" t="s">
        <v>63</v>
      </c>
      <c r="D38" s="126">
        <v>9320293791</v>
      </c>
      <c r="E38" s="127" t="s">
        <v>30</v>
      </c>
      <c r="F38" s="128">
        <v>10944643</v>
      </c>
      <c r="H38" s="164">
        <v>-75000</v>
      </c>
      <c r="M38" s="163">
        <f>-60000</f>
        <v>-60000</v>
      </c>
      <c r="AL38" s="209">
        <f t="shared" si="0"/>
        <v>10809643</v>
      </c>
      <c r="AN38" s="222">
        <v>10830433.23</v>
      </c>
      <c r="AO38" s="221">
        <f t="shared" si="1"/>
        <v>20790.230000000447</v>
      </c>
      <c r="AP38" s="124" t="s">
        <v>93</v>
      </c>
      <c r="AQ38" s="151">
        <f t="shared" si="2"/>
        <v>10830433.23</v>
      </c>
      <c r="AR38" s="151">
        <f t="shared" si="3"/>
        <v>0</v>
      </c>
    </row>
    <row r="39" spans="1:44" ht="23.25">
      <c r="A39" s="124">
        <v>1101030102</v>
      </c>
      <c r="B39" s="125" t="s">
        <v>2</v>
      </c>
      <c r="C39" s="111" t="s">
        <v>64</v>
      </c>
      <c r="D39" s="126">
        <v>9320293783</v>
      </c>
      <c r="E39" s="127" t="s">
        <v>34</v>
      </c>
      <c r="F39" s="128">
        <v>10735278.38</v>
      </c>
      <c r="M39" s="163">
        <f>60000</f>
        <v>60000</v>
      </c>
      <c r="AL39" s="209">
        <f t="shared" si="0"/>
        <v>10795278.38</v>
      </c>
      <c r="AN39" s="222">
        <v>10814819.98</v>
      </c>
      <c r="AO39" s="221">
        <f t="shared" si="1"/>
        <v>19541.599999999627</v>
      </c>
      <c r="AP39" s="124" t="s">
        <v>93</v>
      </c>
      <c r="AQ39" s="151">
        <f t="shared" si="2"/>
        <v>10814819.98</v>
      </c>
      <c r="AR39" s="151">
        <f t="shared" si="3"/>
        <v>0</v>
      </c>
    </row>
    <row r="40" spans="1:44" ht="23.25">
      <c r="A40" s="124">
        <v>1101030102</v>
      </c>
      <c r="B40" s="125" t="s">
        <v>2</v>
      </c>
      <c r="C40" s="111" t="s">
        <v>47</v>
      </c>
      <c r="D40" s="126">
        <v>9320344507</v>
      </c>
      <c r="E40" s="127" t="s">
        <v>35</v>
      </c>
      <c r="F40" s="128">
        <v>6756500.88</v>
      </c>
      <c r="G40" s="163">
        <v>2565</v>
      </c>
      <c r="H40" s="164">
        <v>3200</v>
      </c>
      <c r="K40" s="163">
        <v>1600</v>
      </c>
      <c r="L40" s="163">
        <v>6400</v>
      </c>
      <c r="M40" s="163">
        <f>-71278.83</f>
        <v>-71278.83</v>
      </c>
      <c r="N40" s="163">
        <v>1600</v>
      </c>
      <c r="O40" s="163">
        <v>30400</v>
      </c>
      <c r="R40" s="163">
        <v>10565</v>
      </c>
      <c r="S40" s="163">
        <v>10800</v>
      </c>
      <c r="V40" s="163">
        <v>11200</v>
      </c>
      <c r="Y40" s="163">
        <v>5400</v>
      </c>
      <c r="Z40" s="163">
        <v>10200</v>
      </c>
      <c r="AA40" s="163">
        <v>6765</v>
      </c>
      <c r="AB40" s="163">
        <v>1600</v>
      </c>
      <c r="AC40" s="163">
        <f>-11588+3200</f>
        <v>-8388</v>
      </c>
      <c r="AG40" s="163">
        <v>5456</v>
      </c>
      <c r="AH40" s="163">
        <f>-3962.62+365</f>
        <v>-3597.62</v>
      </c>
      <c r="AL40" s="209">
        <f t="shared" si="0"/>
        <v>6780987.43</v>
      </c>
      <c r="AN40" s="222">
        <v>6804154.94</v>
      </c>
      <c r="AO40" s="221">
        <f t="shared" si="1"/>
        <v>23167.510000000708</v>
      </c>
      <c r="AP40" s="124" t="s">
        <v>93</v>
      </c>
      <c r="AQ40" s="151">
        <f t="shared" si="2"/>
        <v>6804154.94</v>
      </c>
      <c r="AR40" s="151">
        <f t="shared" si="3"/>
        <v>0</v>
      </c>
    </row>
    <row r="41" spans="1:44" ht="23.25">
      <c r="A41" s="124">
        <v>1101030102</v>
      </c>
      <c r="B41" s="125" t="s">
        <v>2</v>
      </c>
      <c r="C41" s="111" t="s">
        <v>65</v>
      </c>
      <c r="D41" s="126">
        <v>9320429634</v>
      </c>
      <c r="E41" s="127" t="s">
        <v>36</v>
      </c>
      <c r="F41" s="128">
        <v>570083.43</v>
      </c>
      <c r="AL41" s="209">
        <f t="shared" si="0"/>
        <v>570083.43</v>
      </c>
      <c r="AN41" s="222">
        <v>571143.55</v>
      </c>
      <c r="AO41" s="221">
        <f t="shared" si="1"/>
        <v>1060.1199999999953</v>
      </c>
      <c r="AP41" s="124" t="s">
        <v>93</v>
      </c>
      <c r="AQ41" s="151">
        <f t="shared" si="2"/>
        <v>571143.55</v>
      </c>
      <c r="AR41" s="151">
        <f t="shared" si="3"/>
        <v>0</v>
      </c>
    </row>
    <row r="42" spans="1:44" ht="23.25">
      <c r="A42" s="124">
        <v>1101030102</v>
      </c>
      <c r="B42" s="125" t="s">
        <v>2</v>
      </c>
      <c r="C42" s="111" t="s">
        <v>66</v>
      </c>
      <c r="D42" s="129" t="s">
        <v>38</v>
      </c>
      <c r="E42" s="130" t="s">
        <v>37</v>
      </c>
      <c r="F42" s="128">
        <v>0</v>
      </c>
      <c r="AL42" s="209">
        <f t="shared" si="0"/>
        <v>0</v>
      </c>
      <c r="AO42" s="221">
        <f t="shared" si="1"/>
        <v>0</v>
      </c>
      <c r="AQ42" s="151">
        <f t="shared" si="2"/>
        <v>0</v>
      </c>
      <c r="AR42" s="151">
        <f t="shared" si="3"/>
        <v>0</v>
      </c>
    </row>
    <row r="43" spans="1:44" ht="23.25">
      <c r="A43" s="124">
        <v>1101030102</v>
      </c>
      <c r="B43" s="125" t="s">
        <v>2</v>
      </c>
      <c r="C43" s="111" t="s">
        <v>67</v>
      </c>
      <c r="D43" s="126">
        <v>9320515662</v>
      </c>
      <c r="E43" s="130" t="s">
        <v>81</v>
      </c>
      <c r="F43" s="128">
        <v>1556080.96</v>
      </c>
      <c r="R43" s="163">
        <v>-8590</v>
      </c>
      <c r="AL43" s="209">
        <f t="shared" si="0"/>
        <v>1547490.96</v>
      </c>
      <c r="AN43" s="222">
        <v>1551205.37</v>
      </c>
      <c r="AO43" s="221">
        <f t="shared" si="1"/>
        <v>3714.410000000149</v>
      </c>
      <c r="AP43" s="124" t="s">
        <v>93</v>
      </c>
      <c r="AQ43" s="151">
        <f t="shared" si="2"/>
        <v>1551205.37</v>
      </c>
      <c r="AR43" s="151">
        <f t="shared" si="3"/>
        <v>0</v>
      </c>
    </row>
    <row r="44" spans="1:44" ht="23.25">
      <c r="A44" s="124">
        <v>1101030102</v>
      </c>
      <c r="B44" s="125" t="s">
        <v>14</v>
      </c>
      <c r="C44" s="111" t="s">
        <v>69</v>
      </c>
      <c r="D44" s="129" t="s">
        <v>43</v>
      </c>
      <c r="E44" s="130" t="s">
        <v>82</v>
      </c>
      <c r="F44" s="128">
        <v>26271.17</v>
      </c>
      <c r="AI44" s="163">
        <v>10500</v>
      </c>
      <c r="AL44" s="209">
        <f t="shared" si="0"/>
        <v>36771.17</v>
      </c>
      <c r="AN44" s="222">
        <v>36771.17</v>
      </c>
      <c r="AO44" s="221">
        <f t="shared" si="1"/>
        <v>0</v>
      </c>
      <c r="AQ44" s="151">
        <f t="shared" si="2"/>
        <v>36771.17</v>
      </c>
      <c r="AR44" s="151">
        <f t="shared" si="3"/>
        <v>0</v>
      </c>
    </row>
    <row r="45" spans="1:44" ht="23.25">
      <c r="A45" s="124">
        <v>1101030102</v>
      </c>
      <c r="B45" s="125" t="s">
        <v>2</v>
      </c>
      <c r="C45" s="111" t="s">
        <v>70</v>
      </c>
      <c r="D45" s="126">
        <v>9320614350</v>
      </c>
      <c r="E45" s="130" t="s">
        <v>83</v>
      </c>
      <c r="F45" s="128">
        <v>389448.64</v>
      </c>
      <c r="AL45" s="209">
        <v>389355.18</v>
      </c>
      <c r="AN45" s="222">
        <v>390028.02</v>
      </c>
      <c r="AO45" s="221">
        <f t="shared" si="1"/>
        <v>672.8400000000256</v>
      </c>
      <c r="AP45" s="124" t="s">
        <v>93</v>
      </c>
      <c r="AQ45" s="151">
        <f t="shared" si="2"/>
        <v>390028.02</v>
      </c>
      <c r="AR45" s="151">
        <f t="shared" si="3"/>
        <v>0</v>
      </c>
    </row>
    <row r="46" spans="1:44" ht="23.25">
      <c r="A46" s="124">
        <v>1101030102</v>
      </c>
      <c r="B46" s="125" t="s">
        <v>13</v>
      </c>
      <c r="C46" s="111" t="s">
        <v>68</v>
      </c>
      <c r="D46" s="126">
        <v>5081084530</v>
      </c>
      <c r="E46" s="127" t="s">
        <v>84</v>
      </c>
      <c r="F46" s="128">
        <v>123420.31</v>
      </c>
      <c r="M46" s="163">
        <f>-93.46</f>
        <v>-93.46</v>
      </c>
      <c r="AL46" s="209">
        <v>123420.31</v>
      </c>
      <c r="AN46" s="222">
        <v>123420.31</v>
      </c>
      <c r="AO46" s="221">
        <f t="shared" si="1"/>
        <v>0</v>
      </c>
      <c r="AQ46" s="151">
        <f t="shared" si="2"/>
        <v>123420.31</v>
      </c>
      <c r="AR46" s="151">
        <f t="shared" si="3"/>
        <v>0</v>
      </c>
    </row>
    <row r="47" spans="1:44" ht="23.25">
      <c r="A47" s="124">
        <v>1101030102</v>
      </c>
      <c r="B47" s="125" t="s">
        <v>89</v>
      </c>
      <c r="C47" s="111" t="s">
        <v>87</v>
      </c>
      <c r="D47" s="129" t="s">
        <v>88</v>
      </c>
      <c r="E47" s="145" t="s">
        <v>90</v>
      </c>
      <c r="F47" s="128">
        <v>27392974.430000003</v>
      </c>
      <c r="H47" s="164">
        <v>-229831.78</v>
      </c>
      <c r="M47" s="163">
        <f>-21060.76</f>
        <v>-21060.76</v>
      </c>
      <c r="Y47" s="163">
        <v>-99065.42</v>
      </c>
      <c r="Z47" s="163">
        <v>-1436448.6</v>
      </c>
      <c r="AL47" s="209">
        <f t="shared" si="0"/>
        <v>25606567.870000005</v>
      </c>
      <c r="AN47" s="222">
        <v>25143734.23</v>
      </c>
      <c r="AO47" s="221">
        <f t="shared" si="1"/>
        <v>-462833.6400000043</v>
      </c>
      <c r="AP47" s="124" t="s">
        <v>92</v>
      </c>
      <c r="AQ47" s="151">
        <f t="shared" si="2"/>
        <v>25143734.23</v>
      </c>
      <c r="AR47" s="151">
        <f t="shared" si="3"/>
        <v>0</v>
      </c>
    </row>
    <row r="48" spans="1:44" ht="23.25">
      <c r="A48" s="124">
        <v>1101030102</v>
      </c>
      <c r="C48" s="111" t="s">
        <v>99</v>
      </c>
      <c r="D48" s="126" t="s">
        <v>100</v>
      </c>
      <c r="E48" s="146" t="s">
        <v>103</v>
      </c>
      <c r="F48" s="147">
        <v>84455.19</v>
      </c>
      <c r="AL48" s="209">
        <f t="shared" si="0"/>
        <v>84455.19</v>
      </c>
      <c r="AN48" s="222">
        <v>84703.91</v>
      </c>
      <c r="AO48" s="221">
        <f t="shared" si="1"/>
        <v>248.72000000000116</v>
      </c>
      <c r="AP48" s="124" t="s">
        <v>93</v>
      </c>
      <c r="AQ48" s="151">
        <f t="shared" si="2"/>
        <v>84703.91</v>
      </c>
      <c r="AR48" s="151">
        <f t="shared" si="3"/>
        <v>0</v>
      </c>
    </row>
    <row r="49" spans="1:44" ht="23.25">
      <c r="A49" s="124">
        <v>1101030102</v>
      </c>
      <c r="C49" s="111" t="s">
        <v>107</v>
      </c>
      <c r="D49" s="148" t="s">
        <v>108</v>
      </c>
      <c r="E49" s="149" t="s">
        <v>111</v>
      </c>
      <c r="F49" s="128">
        <v>5883261.97</v>
      </c>
      <c r="O49" s="163">
        <v>459765.27</v>
      </c>
      <c r="AL49" s="209">
        <f t="shared" si="0"/>
        <v>6343027.24</v>
      </c>
      <c r="AN49" s="222">
        <v>6353834.91</v>
      </c>
      <c r="AO49" s="221">
        <f t="shared" si="1"/>
        <v>10807.669999999925</v>
      </c>
      <c r="AP49" s="124" t="s">
        <v>93</v>
      </c>
      <c r="AQ49" s="151">
        <f t="shared" si="2"/>
        <v>6353834.91</v>
      </c>
      <c r="AR49" s="151">
        <f t="shared" si="3"/>
        <v>0</v>
      </c>
    </row>
    <row r="50" spans="1:44" ht="23.25">
      <c r="A50" s="124">
        <v>1101030102</v>
      </c>
      <c r="B50" s="135" t="s">
        <v>0</v>
      </c>
      <c r="C50" s="111" t="s">
        <v>120</v>
      </c>
      <c r="D50" s="241">
        <v>9320830827</v>
      </c>
      <c r="E50" s="149" t="s">
        <v>121</v>
      </c>
      <c r="F50" s="150">
        <v>27472140.169999998</v>
      </c>
      <c r="L50" s="163">
        <v>500</v>
      </c>
      <c r="M50" s="163">
        <f>50000+500</f>
        <v>50500</v>
      </c>
      <c r="N50" s="163">
        <v>2500</v>
      </c>
      <c r="R50" s="163">
        <v>105000</v>
      </c>
      <c r="U50" s="163">
        <f>-9599439.25+658920</f>
        <v>-8940519.25</v>
      </c>
      <c r="V50" s="163">
        <v>5000</v>
      </c>
      <c r="Y50" s="163">
        <v>3500</v>
      </c>
      <c r="AB50" s="163">
        <v>16500</v>
      </c>
      <c r="AG50" s="163">
        <v>14760</v>
      </c>
      <c r="AJ50" s="163">
        <f>4000</f>
        <v>4000</v>
      </c>
      <c r="AL50" s="209">
        <f t="shared" si="0"/>
        <v>18733880.919999998</v>
      </c>
      <c r="AN50" s="222">
        <v>18783556.64</v>
      </c>
      <c r="AO50" s="221">
        <f t="shared" si="1"/>
        <v>49675.72000000253</v>
      </c>
      <c r="AP50" s="124" t="s">
        <v>93</v>
      </c>
      <c r="AQ50" s="151">
        <f t="shared" si="2"/>
        <v>18783556.64</v>
      </c>
      <c r="AR50" s="151">
        <f t="shared" si="3"/>
        <v>0</v>
      </c>
    </row>
    <row r="51" spans="1:44" ht="23.25">
      <c r="A51" s="124">
        <v>1101030102</v>
      </c>
      <c r="B51" s="135"/>
      <c r="C51" s="111" t="s">
        <v>122</v>
      </c>
      <c r="D51" s="148">
        <v>9320821550</v>
      </c>
      <c r="E51" s="149" t="s">
        <v>123</v>
      </c>
      <c r="F51" s="150">
        <v>53982760.9</v>
      </c>
      <c r="AL51" s="209">
        <f t="shared" si="0"/>
        <v>53982760.9</v>
      </c>
      <c r="AN51" s="222">
        <v>54089330.74</v>
      </c>
      <c r="AO51" s="221">
        <f t="shared" si="1"/>
        <v>106569.84000000358</v>
      </c>
      <c r="AP51" s="124" t="s">
        <v>93</v>
      </c>
      <c r="AQ51" s="151">
        <f t="shared" si="2"/>
        <v>54089330.74</v>
      </c>
      <c r="AR51" s="151">
        <f t="shared" si="3"/>
        <v>0</v>
      </c>
    </row>
    <row r="52" spans="1:44" ht="23.25">
      <c r="A52" s="124">
        <v>1101030102</v>
      </c>
      <c r="B52" s="135"/>
      <c r="C52" s="111" t="s">
        <v>125</v>
      </c>
      <c r="D52" s="148">
        <v>9320917914</v>
      </c>
      <c r="E52" s="149" t="s">
        <v>126</v>
      </c>
      <c r="F52" s="150">
        <v>7099.7</v>
      </c>
      <c r="AL52" s="209">
        <f t="shared" si="0"/>
        <v>7099.7</v>
      </c>
      <c r="AN52" s="222">
        <v>7183.11</v>
      </c>
      <c r="AO52" s="221">
        <f t="shared" si="1"/>
        <v>83.40999999999985</v>
      </c>
      <c r="AP52" s="124" t="s">
        <v>93</v>
      </c>
      <c r="AQ52" s="151">
        <f t="shared" si="2"/>
        <v>7183.11</v>
      </c>
      <c r="AR52" s="151">
        <f t="shared" si="3"/>
        <v>0</v>
      </c>
    </row>
    <row r="53" spans="1:44" ht="23.25">
      <c r="A53" s="132" t="s">
        <v>113</v>
      </c>
      <c r="B53" s="125" t="s">
        <v>114</v>
      </c>
      <c r="C53" s="111" t="s">
        <v>115</v>
      </c>
      <c r="D53" s="148">
        <v>65210028561</v>
      </c>
      <c r="E53" s="149" t="s">
        <v>116</v>
      </c>
      <c r="F53" s="150">
        <v>30000000</v>
      </c>
      <c r="AL53" s="209">
        <f t="shared" si="0"/>
        <v>30000000</v>
      </c>
      <c r="AN53" s="222">
        <v>30000000</v>
      </c>
      <c r="AO53" s="221">
        <f t="shared" si="1"/>
        <v>0</v>
      </c>
      <c r="AQ53" s="151">
        <f t="shared" si="2"/>
        <v>30000000</v>
      </c>
      <c r="AR53" s="151">
        <f t="shared" si="3"/>
        <v>0</v>
      </c>
    </row>
    <row r="54" spans="1:44" ht="23.25">
      <c r="A54" s="132" t="s">
        <v>113</v>
      </c>
      <c r="B54" s="125" t="s">
        <v>118</v>
      </c>
      <c r="C54" s="111" t="s">
        <v>62</v>
      </c>
      <c r="D54" s="148">
        <v>300020091397</v>
      </c>
      <c r="E54" s="149" t="s">
        <v>117</v>
      </c>
      <c r="F54" s="150">
        <v>10419049.05</v>
      </c>
      <c r="AL54" s="212">
        <f t="shared" si="0"/>
        <v>10419049.05</v>
      </c>
      <c r="AM54" s="147"/>
      <c r="AN54" s="229">
        <v>10419049.05</v>
      </c>
      <c r="AO54" s="221">
        <f t="shared" si="1"/>
        <v>0</v>
      </c>
      <c r="AP54" s="190"/>
      <c r="AQ54" s="151">
        <f t="shared" si="2"/>
        <v>10419049.05</v>
      </c>
      <c r="AR54" s="151">
        <f t="shared" si="3"/>
        <v>0</v>
      </c>
    </row>
    <row r="55" spans="3:44" ht="24" thickBot="1">
      <c r="C55" s="151"/>
      <c r="D55" s="152"/>
      <c r="F55" s="157">
        <f>SUM(F18:F54)</f>
        <v>499771273.7</v>
      </c>
      <c r="G55" s="164">
        <f>SUM(G3:G54)</f>
        <v>-3319137.14</v>
      </c>
      <c r="H55" s="164">
        <f aca="true" t="shared" si="4" ref="H55:AK55">SUM(H3:H54)</f>
        <v>-917755.55</v>
      </c>
      <c r="I55" s="164">
        <f t="shared" si="4"/>
        <v>0</v>
      </c>
      <c r="J55" s="164">
        <f t="shared" si="4"/>
        <v>0</v>
      </c>
      <c r="K55" s="164">
        <f t="shared" si="4"/>
        <v>-301535.72</v>
      </c>
      <c r="L55" s="164">
        <f t="shared" si="4"/>
        <v>311331.51999999996</v>
      </c>
      <c r="M55" s="164">
        <f t="shared" si="4"/>
        <v>537663.5400000002</v>
      </c>
      <c r="N55" s="164">
        <f t="shared" si="4"/>
        <v>3649263.88</v>
      </c>
      <c r="O55" s="164">
        <f t="shared" si="4"/>
        <v>-1521372.5099999998</v>
      </c>
      <c r="P55" s="164">
        <f t="shared" si="4"/>
        <v>0</v>
      </c>
      <c r="Q55" s="164">
        <f t="shared" si="4"/>
        <v>0</v>
      </c>
      <c r="R55" s="164">
        <f t="shared" si="4"/>
        <v>542995.9800000002</v>
      </c>
      <c r="S55" s="164">
        <f t="shared" si="4"/>
        <v>-1771703.48</v>
      </c>
      <c r="T55" s="164">
        <f t="shared" si="4"/>
        <v>-554216.31</v>
      </c>
      <c r="U55" s="164">
        <f t="shared" si="4"/>
        <v>-11884550.17</v>
      </c>
      <c r="V55" s="164">
        <f t="shared" si="4"/>
        <v>8854850.31</v>
      </c>
      <c r="W55" s="164">
        <f t="shared" si="4"/>
        <v>0</v>
      </c>
      <c r="X55" s="164">
        <f t="shared" si="4"/>
        <v>0</v>
      </c>
      <c r="Y55" s="164">
        <f t="shared" si="4"/>
        <v>29286.70000000004</v>
      </c>
      <c r="Z55" s="164">
        <f t="shared" si="4"/>
        <v>-2142917.74</v>
      </c>
      <c r="AA55" s="164">
        <f t="shared" si="4"/>
        <v>-3550670.9899999998</v>
      </c>
      <c r="AB55" s="164">
        <f t="shared" si="4"/>
        <v>-2644417.53</v>
      </c>
      <c r="AC55" s="164">
        <f t="shared" si="4"/>
        <v>-862376.86</v>
      </c>
      <c r="AD55" s="164">
        <f t="shared" si="4"/>
        <v>0</v>
      </c>
      <c r="AE55" s="164">
        <f t="shared" si="4"/>
        <v>0</v>
      </c>
      <c r="AF55" s="164">
        <f t="shared" si="4"/>
        <v>0</v>
      </c>
      <c r="AG55" s="164">
        <f t="shared" si="4"/>
        <v>-9918668.42</v>
      </c>
      <c r="AH55" s="164">
        <f t="shared" si="4"/>
        <v>-3164422.6700000004</v>
      </c>
      <c r="AI55" s="164">
        <f t="shared" si="4"/>
        <v>-4831641.83</v>
      </c>
      <c r="AJ55" s="164">
        <f t="shared" si="4"/>
        <v>34838257.9</v>
      </c>
      <c r="AK55" s="164">
        <f t="shared" si="4"/>
        <v>0</v>
      </c>
      <c r="AL55" s="213">
        <f>SUM(AL18:AL54)</f>
        <v>500149536.60999995</v>
      </c>
      <c r="AM55" s="192"/>
      <c r="AN55" s="230">
        <f>SUM(AN3:AN54)</f>
        <v>492115641.71000016</v>
      </c>
      <c r="AO55" s="199">
        <f>SUM(AO18:AO54)</f>
        <v>-8033894.899999998</v>
      </c>
      <c r="AP55" s="199"/>
      <c r="AQ55" s="199">
        <f>SUM(AQ18:AQ54)</f>
        <v>492115641.71000016</v>
      </c>
      <c r="AR55" s="151">
        <f t="shared" si="3"/>
        <v>0</v>
      </c>
    </row>
    <row r="56" spans="1:45" ht="23.25">
      <c r="A56" s="538" t="s">
        <v>145</v>
      </c>
      <c r="B56" s="539"/>
      <c r="C56" s="540"/>
      <c r="D56" s="249">
        <f>SUM(AO19:AO20,AO22:AO34,AO37:AO41,AO43:AO46,AO48:AO52)</f>
        <v>21752070.510000013</v>
      </c>
      <c r="E56" s="195"/>
      <c r="F56" s="74"/>
      <c r="G56" s="239">
        <f>F55+G55</f>
        <v>496452136.56</v>
      </c>
      <c r="H56" s="164">
        <f aca="true" t="shared" si="5" ref="H56:O56">G56+H55</f>
        <v>495534381.01</v>
      </c>
      <c r="I56" s="164">
        <f t="shared" si="5"/>
        <v>495534381.01</v>
      </c>
      <c r="J56" s="164">
        <f t="shared" si="5"/>
        <v>495534381.01</v>
      </c>
      <c r="K56" s="164">
        <f t="shared" si="5"/>
        <v>495232845.28999996</v>
      </c>
      <c r="L56" s="164">
        <f t="shared" si="5"/>
        <v>495544176.80999994</v>
      </c>
      <c r="M56" s="164">
        <f t="shared" si="5"/>
        <v>496081840.34999996</v>
      </c>
      <c r="N56" s="164">
        <f t="shared" si="5"/>
        <v>499731104.22999996</v>
      </c>
      <c r="O56" s="164">
        <f t="shared" si="5"/>
        <v>498209731.71999997</v>
      </c>
      <c r="P56" s="164">
        <f aca="true" t="shared" si="6" ref="P56:V56">O56+P55</f>
        <v>498209731.71999997</v>
      </c>
      <c r="Q56" s="164">
        <f t="shared" si="6"/>
        <v>498209731.71999997</v>
      </c>
      <c r="R56" s="164">
        <f t="shared" si="6"/>
        <v>498752727.7</v>
      </c>
      <c r="S56" s="164">
        <f t="shared" si="6"/>
        <v>496981024.21999997</v>
      </c>
      <c r="T56" s="164">
        <f t="shared" si="6"/>
        <v>496426807.90999997</v>
      </c>
      <c r="U56" s="164">
        <f t="shared" si="6"/>
        <v>484542257.73999995</v>
      </c>
      <c r="V56" s="164">
        <f t="shared" si="6"/>
        <v>493397108.04999995</v>
      </c>
      <c r="W56" s="164">
        <f>V56+W55</f>
        <v>493397108.04999995</v>
      </c>
      <c r="X56" s="164">
        <f>W56+X55</f>
        <v>493397108.04999995</v>
      </c>
      <c r="Y56" s="164">
        <f>X56+Y55</f>
        <v>493426394.74999994</v>
      </c>
      <c r="Z56" s="164">
        <f>Y56+Z55</f>
        <v>491283477.00999993</v>
      </c>
      <c r="AA56" s="164">
        <f aca="true" t="shared" si="7" ref="AA56:AK56">Z56+AA55</f>
        <v>487732806.0199999</v>
      </c>
      <c r="AB56" s="164">
        <f t="shared" si="7"/>
        <v>485088388.48999995</v>
      </c>
      <c r="AC56" s="164">
        <f t="shared" si="7"/>
        <v>484226011.62999994</v>
      </c>
      <c r="AD56" s="164">
        <f t="shared" si="7"/>
        <v>484226011.62999994</v>
      </c>
      <c r="AE56" s="164">
        <f t="shared" si="7"/>
        <v>484226011.62999994</v>
      </c>
      <c r="AF56" s="164">
        <f t="shared" si="7"/>
        <v>484226011.62999994</v>
      </c>
      <c r="AG56" s="164">
        <f t="shared" si="7"/>
        <v>474307343.2099999</v>
      </c>
      <c r="AH56" s="164">
        <f t="shared" si="7"/>
        <v>471142920.5399999</v>
      </c>
      <c r="AI56" s="164">
        <f t="shared" si="7"/>
        <v>466311278.7099999</v>
      </c>
      <c r="AJ56" s="164">
        <f t="shared" si="7"/>
        <v>501149536.6099999</v>
      </c>
      <c r="AK56" s="164">
        <f t="shared" si="7"/>
        <v>501149536.6099999</v>
      </c>
      <c r="AL56" s="214"/>
      <c r="AO56" s="191"/>
      <c r="AS56" s="128" t="s">
        <v>131</v>
      </c>
    </row>
    <row r="57" spans="1:45" ht="23.25">
      <c r="A57" s="541" t="s">
        <v>140</v>
      </c>
      <c r="B57" s="542"/>
      <c r="C57" s="543"/>
      <c r="D57" s="72">
        <v>0</v>
      </c>
      <c r="E57" s="198"/>
      <c r="F57" s="74"/>
      <c r="G57" s="238"/>
      <c r="I57" s="164"/>
      <c r="J57" s="164"/>
      <c r="AK57" s="163">
        <f>AJ57+AK55</f>
        <v>0</v>
      </c>
      <c r="AO57" s="186"/>
      <c r="AS57" s="128" t="s">
        <v>132</v>
      </c>
    </row>
    <row r="58" spans="1:7" ht="23.25">
      <c r="A58" s="125"/>
      <c r="C58" s="195" t="s">
        <v>138</v>
      </c>
      <c r="D58" s="197"/>
      <c r="E58" s="231">
        <f>D56+D57</f>
        <v>21752070.510000013</v>
      </c>
      <c r="F58" s="74"/>
      <c r="G58" s="238"/>
    </row>
    <row r="59" spans="3:40" ht="24" thickBot="1">
      <c r="C59" s="194"/>
      <c r="D59" s="196"/>
      <c r="E59" s="125"/>
      <c r="F59" s="74"/>
      <c r="G59" s="239"/>
      <c r="AK59" s="163">
        <f>385139.86+303365.85+18000+30472.52+41231.03</f>
        <v>778209.26</v>
      </c>
      <c r="AL59" s="234"/>
      <c r="AN59" s="222" t="s">
        <v>150</v>
      </c>
    </row>
    <row r="60" spans="1:43" ht="24" thickBot="1">
      <c r="A60" s="538" t="s">
        <v>146</v>
      </c>
      <c r="B60" s="539"/>
      <c r="C60" s="540"/>
      <c r="D60" s="250">
        <f>AO21+AO35+AO36+AO47</f>
        <v>-29785965.410000004</v>
      </c>
      <c r="E60" s="125"/>
      <c r="F60" s="74" t="s">
        <v>144</v>
      </c>
      <c r="G60" s="239"/>
      <c r="I60" s="227"/>
      <c r="AK60" s="240"/>
      <c r="AL60" s="248">
        <f>D56+E62</f>
        <v>-8033894.899999991</v>
      </c>
      <c r="AM60" s="233"/>
      <c r="AN60" s="252">
        <f>AL60-AO55</f>
        <v>0</v>
      </c>
      <c r="AO60" s="186"/>
      <c r="AQ60" s="151"/>
    </row>
    <row r="61" spans="1:43" ht="23.25">
      <c r="A61" s="125"/>
      <c r="B61" s="202"/>
      <c r="C61" s="201" t="s">
        <v>141</v>
      </c>
      <c r="D61" s="195"/>
      <c r="E61" s="128"/>
      <c r="F61" s="74"/>
      <c r="G61" s="239"/>
      <c r="AL61" s="235"/>
      <c r="AQ61" s="151">
        <f>AQ60+AN60</f>
        <v>0</v>
      </c>
    </row>
    <row r="62" spans="3:5" ht="23.25">
      <c r="C62" s="200" t="s">
        <v>139</v>
      </c>
      <c r="E62" s="232">
        <f>D60</f>
        <v>-29785965.410000004</v>
      </c>
    </row>
    <row r="63" ht="23.25">
      <c r="D63" s="203"/>
    </row>
    <row r="64" ht="23.25">
      <c r="D64" s="203"/>
    </row>
    <row r="65" ht="23.25">
      <c r="D65" s="203"/>
    </row>
    <row r="66" ht="23.25">
      <c r="D66" s="203"/>
    </row>
    <row r="67" ht="23.25">
      <c r="D67" s="203"/>
    </row>
    <row r="68" ht="23.25">
      <c r="D68" s="203"/>
    </row>
    <row r="69" ht="23.25">
      <c r="D69" s="203"/>
    </row>
    <row r="70" ht="23.25">
      <c r="D70" s="203"/>
    </row>
    <row r="71" ht="23.25">
      <c r="D71" s="203"/>
    </row>
    <row r="72" ht="23.25">
      <c r="D72" s="203"/>
    </row>
  </sheetData>
  <sheetProtection/>
  <mergeCells count="10">
    <mergeCell ref="F1:F2"/>
    <mergeCell ref="G1:AK1"/>
    <mergeCell ref="A56:C56"/>
    <mergeCell ref="A57:C57"/>
    <mergeCell ref="A60:C60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4">
      <formula1>6</formula1>
    </dataValidation>
  </dataValidations>
  <printOptions/>
  <pageMargins left="0.2755905511811024" right="0.15748031496062992" top="0.7874015748031497" bottom="0.5905511811023623" header="0.3937007874015748" footer="0.2362204724409449"/>
  <pageSetup horizontalDpi="600" verticalDpi="600" orientation="portrait" paperSize="9" scale="95" r:id="rId3"/>
  <headerFooter>
    <oddHeader>&amp;Lปรับปรุง GFMIS&amp;Cวันที่ &amp;D&amp;R เวลา &amp;T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3"/>
  <sheetViews>
    <sheetView zoomScale="140" zoomScaleNormal="140" zoomScalePageLayoutView="0" workbookViewId="0" topLeftCell="AE27">
      <selection activeCell="AE35" sqref="AE35"/>
    </sheetView>
  </sheetViews>
  <sheetFormatPr defaultColWidth="9.140625" defaultRowHeight="12.75"/>
  <cols>
    <col min="1" max="1" width="14.57421875" style="124" customWidth="1"/>
    <col min="2" max="2" width="9.140625" style="125" customWidth="1"/>
    <col min="3" max="3" width="34.7109375" style="125" customWidth="1"/>
    <col min="4" max="4" width="17.8515625" style="126" customWidth="1"/>
    <col min="5" max="5" width="17.421875" style="130" customWidth="1"/>
    <col min="6" max="6" width="18.421875" style="128" customWidth="1"/>
    <col min="7" max="7" width="15.7109375" style="163" customWidth="1"/>
    <col min="8" max="8" width="15.7109375" style="164" customWidth="1"/>
    <col min="9" max="9" width="15.7109375" style="163" customWidth="1"/>
    <col min="10" max="10" width="16.00390625" style="163" customWidth="1"/>
    <col min="11" max="13" width="15.7109375" style="163" customWidth="1"/>
    <col min="14" max="14" width="17.421875" style="163" customWidth="1"/>
    <col min="15" max="37" width="15.7109375" style="163" customWidth="1"/>
    <col min="38" max="38" width="16.28125" style="208" customWidth="1"/>
    <col min="39" max="39" width="4.140625" style="128" customWidth="1"/>
    <col min="40" max="40" width="16.00390625" style="222" customWidth="1"/>
    <col min="41" max="41" width="17.7109375" style="266" customWidth="1"/>
    <col min="42" max="42" width="3.8515625" style="124" bestFit="1" customWidth="1"/>
    <col min="43" max="43" width="19.140625" style="125" bestFit="1" customWidth="1"/>
    <col min="44" max="44" width="26.28125" style="125" customWidth="1"/>
    <col min="45" max="16384" width="9.140625" style="125" customWidth="1"/>
  </cols>
  <sheetData>
    <row r="1" spans="1:41" s="114" customFormat="1" ht="27" customHeight="1">
      <c r="A1" s="544" t="s">
        <v>73</v>
      </c>
      <c r="B1" s="546" t="s">
        <v>3</v>
      </c>
      <c r="C1" s="546" t="s">
        <v>46</v>
      </c>
      <c r="D1" s="548" t="s">
        <v>1</v>
      </c>
      <c r="E1" s="550" t="s">
        <v>45</v>
      </c>
      <c r="F1" s="533" t="s">
        <v>127</v>
      </c>
      <c r="G1" s="535" t="s">
        <v>151</v>
      </c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7"/>
      <c r="AL1" s="210"/>
      <c r="AM1" s="117"/>
      <c r="AN1" s="223"/>
      <c r="AO1" s="263"/>
    </row>
    <row r="2" spans="1:44" s="114" customFormat="1" ht="66.75" customHeight="1">
      <c r="A2" s="545"/>
      <c r="B2" s="547"/>
      <c r="C2" s="547"/>
      <c r="D2" s="549"/>
      <c r="E2" s="551"/>
      <c r="F2" s="534"/>
      <c r="G2" s="160">
        <v>1</v>
      </c>
      <c r="H2" s="160">
        <v>2</v>
      </c>
      <c r="I2" s="160">
        <v>3</v>
      </c>
      <c r="J2" s="160">
        <v>4</v>
      </c>
      <c r="K2" s="160">
        <v>5</v>
      </c>
      <c r="L2" s="160">
        <v>6</v>
      </c>
      <c r="M2" s="160">
        <v>7</v>
      </c>
      <c r="N2" s="160">
        <v>8</v>
      </c>
      <c r="O2" s="160">
        <v>9</v>
      </c>
      <c r="P2" s="160">
        <v>10</v>
      </c>
      <c r="Q2" s="160">
        <v>11</v>
      </c>
      <c r="R2" s="160">
        <v>12</v>
      </c>
      <c r="S2" s="160">
        <v>13</v>
      </c>
      <c r="T2" s="160">
        <v>14</v>
      </c>
      <c r="U2" s="160">
        <v>15</v>
      </c>
      <c r="V2" s="160">
        <v>16</v>
      </c>
      <c r="W2" s="258">
        <v>17</v>
      </c>
      <c r="X2" s="160">
        <v>18</v>
      </c>
      <c r="Y2" s="160">
        <v>19</v>
      </c>
      <c r="Z2" s="160">
        <v>20</v>
      </c>
      <c r="AA2" s="160">
        <v>21</v>
      </c>
      <c r="AB2" s="160">
        <v>22</v>
      </c>
      <c r="AC2" s="160">
        <v>23</v>
      </c>
      <c r="AD2" s="160">
        <v>24</v>
      </c>
      <c r="AE2" s="160">
        <v>25</v>
      </c>
      <c r="AF2" s="160">
        <v>26</v>
      </c>
      <c r="AG2" s="160">
        <v>27</v>
      </c>
      <c r="AH2" s="160">
        <v>28</v>
      </c>
      <c r="AI2" s="160">
        <v>29</v>
      </c>
      <c r="AJ2" s="160">
        <v>30</v>
      </c>
      <c r="AK2" s="160">
        <v>31</v>
      </c>
      <c r="AL2" s="211" t="s">
        <v>133</v>
      </c>
      <c r="AM2" s="117"/>
      <c r="AN2" s="224" t="s">
        <v>134</v>
      </c>
      <c r="AO2" s="264" t="s">
        <v>137</v>
      </c>
      <c r="AP2" s="189"/>
      <c r="AQ2" s="114" t="s">
        <v>135</v>
      </c>
      <c r="AR2" s="189" t="s">
        <v>136</v>
      </c>
    </row>
    <row r="3" spans="1:41" s="153" customFormat="1" ht="23.25">
      <c r="A3" s="153" t="s">
        <v>31</v>
      </c>
      <c r="B3" s="153" t="s">
        <v>41</v>
      </c>
      <c r="D3" s="154" t="s">
        <v>31</v>
      </c>
      <c r="E3" s="155"/>
      <c r="F3" s="156">
        <v>0</v>
      </c>
      <c r="G3" s="162"/>
      <c r="H3" s="162"/>
      <c r="I3" s="162">
        <f>384598+23184.52-80539-327243.52</f>
        <v>0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209">
        <f>(F3)+SUM(G3:AK3)</f>
        <v>0</v>
      </c>
      <c r="AM3" s="156"/>
      <c r="AN3" s="223"/>
      <c r="AO3" s="265"/>
    </row>
    <row r="4" spans="1:41" s="118" customFormat="1" ht="23.25">
      <c r="A4" s="118">
        <v>1101010101</v>
      </c>
      <c r="B4" s="119" t="s">
        <v>31</v>
      </c>
      <c r="C4" s="119"/>
      <c r="D4" s="120"/>
      <c r="E4" s="121"/>
      <c r="F4" s="122">
        <v>0</v>
      </c>
      <c r="G4" s="161"/>
      <c r="H4" s="162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209">
        <f aca="true" t="shared" si="0" ref="AL4:AL55">(F4)+SUM(G4:AK4)</f>
        <v>0</v>
      </c>
      <c r="AM4" s="122"/>
      <c r="AN4" s="225"/>
      <c r="AO4" s="263"/>
    </row>
    <row r="5" spans="2:41" s="118" customFormat="1" ht="23.25">
      <c r="B5" s="119" t="s">
        <v>32</v>
      </c>
      <c r="C5" s="119"/>
      <c r="D5" s="120"/>
      <c r="E5" s="121"/>
      <c r="F5" s="122"/>
      <c r="G5" s="161"/>
      <c r="H5" s="162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209">
        <f t="shared" si="0"/>
        <v>0</v>
      </c>
      <c r="AM5" s="122"/>
      <c r="AN5" s="225"/>
      <c r="AO5" s="263"/>
    </row>
    <row r="6" spans="2:41" s="114" customFormat="1" ht="23.25" hidden="1">
      <c r="B6" s="123"/>
      <c r="C6" s="123"/>
      <c r="D6" s="115"/>
      <c r="E6" s="116"/>
      <c r="F6" s="117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209">
        <f t="shared" si="0"/>
        <v>0</v>
      </c>
      <c r="AM6" s="117"/>
      <c r="AN6" s="223"/>
      <c r="AO6" s="263"/>
    </row>
    <row r="7" spans="2:41" s="114" customFormat="1" ht="23.25" hidden="1">
      <c r="B7" s="114" t="s">
        <v>40</v>
      </c>
      <c r="C7" s="123"/>
      <c r="D7" s="115"/>
      <c r="E7" s="116"/>
      <c r="F7" s="117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209">
        <f t="shared" si="0"/>
        <v>0</v>
      </c>
      <c r="AM7" s="117"/>
      <c r="AN7" s="223"/>
      <c r="AO7" s="263"/>
    </row>
    <row r="8" spans="2:41" s="114" customFormat="1" ht="23.25" hidden="1">
      <c r="B8" s="123" t="s">
        <v>33</v>
      </c>
      <c r="C8" s="123"/>
      <c r="D8" s="115"/>
      <c r="E8" s="116"/>
      <c r="F8" s="117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209">
        <f t="shared" si="0"/>
        <v>0</v>
      </c>
      <c r="AM8" s="117"/>
      <c r="AN8" s="223"/>
      <c r="AO8" s="263"/>
    </row>
    <row r="9" spans="2:41" s="114" customFormat="1" ht="23.25" hidden="1">
      <c r="B9" s="123" t="s">
        <v>42</v>
      </c>
      <c r="C9" s="123"/>
      <c r="D9" s="115"/>
      <c r="E9" s="116"/>
      <c r="F9" s="117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209">
        <f t="shared" si="0"/>
        <v>0</v>
      </c>
      <c r="AM9" s="117"/>
      <c r="AN9" s="223"/>
      <c r="AO9" s="263"/>
    </row>
    <row r="10" spans="2:41" s="118" customFormat="1" ht="23.25" hidden="1">
      <c r="B10" s="119"/>
      <c r="C10" s="119"/>
      <c r="D10" s="120"/>
      <c r="E10" s="121"/>
      <c r="F10" s="117"/>
      <c r="G10" s="161"/>
      <c r="H10" s="162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209">
        <f t="shared" si="0"/>
        <v>0</v>
      </c>
      <c r="AM10" s="122"/>
      <c r="AN10" s="225"/>
      <c r="AO10" s="263"/>
    </row>
    <row r="11" spans="2:41" s="118" customFormat="1" ht="23.25" hidden="1">
      <c r="B11" s="119"/>
      <c r="C11" s="119"/>
      <c r="D11" s="120"/>
      <c r="E11" s="121"/>
      <c r="F11" s="122"/>
      <c r="G11" s="161"/>
      <c r="H11" s="162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209">
        <f t="shared" si="0"/>
        <v>0</v>
      </c>
      <c r="AM11" s="122"/>
      <c r="AN11" s="225"/>
      <c r="AO11" s="263"/>
    </row>
    <row r="12" spans="1:44" s="114" customFormat="1" ht="23.25" hidden="1">
      <c r="A12" s="114" t="s">
        <v>72</v>
      </c>
      <c r="B12" s="114" t="s">
        <v>0</v>
      </c>
      <c r="D12" s="115"/>
      <c r="E12" s="116"/>
      <c r="F12" s="117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209">
        <f t="shared" si="0"/>
        <v>0</v>
      </c>
      <c r="AM12" s="117"/>
      <c r="AN12" s="223"/>
      <c r="AO12" s="253">
        <f aca="true" t="shared" si="1" ref="AO12:AO17">AN12-AL12</f>
        <v>0</v>
      </c>
      <c r="AQ12" s="151">
        <f aca="true" t="shared" si="2" ref="AQ12:AQ20">AL12+AO12</f>
        <v>0</v>
      </c>
      <c r="AR12" s="151">
        <f aca="true" t="shared" si="3" ref="AR12:AR20">AN12-AQ12</f>
        <v>0</v>
      </c>
    </row>
    <row r="13" spans="1:44" ht="23.25">
      <c r="A13" s="124">
        <v>1101030101</v>
      </c>
      <c r="B13" s="125" t="s">
        <v>39</v>
      </c>
      <c r="D13" s="126">
        <v>9326000028</v>
      </c>
      <c r="E13" s="127" t="s">
        <v>4</v>
      </c>
      <c r="Q13" s="163">
        <v>2</v>
      </c>
      <c r="AL13" s="209">
        <f t="shared" si="0"/>
        <v>2</v>
      </c>
      <c r="AN13" s="222">
        <v>0</v>
      </c>
      <c r="AO13" s="253">
        <f t="shared" si="1"/>
        <v>-2</v>
      </c>
      <c r="AP13" s="124" t="s">
        <v>92</v>
      </c>
      <c r="AQ13" s="151">
        <f t="shared" si="2"/>
        <v>0</v>
      </c>
      <c r="AR13" s="151">
        <f t="shared" si="3"/>
        <v>0</v>
      </c>
    </row>
    <row r="14" spans="1:44" ht="23.25">
      <c r="A14" s="124">
        <v>1101030101</v>
      </c>
      <c r="B14" s="125" t="s">
        <v>2</v>
      </c>
      <c r="D14" s="126">
        <v>9326001040</v>
      </c>
      <c r="E14" s="127" t="s">
        <v>9</v>
      </c>
      <c r="AL14" s="209">
        <f t="shared" si="0"/>
        <v>0</v>
      </c>
      <c r="AO14" s="253">
        <f t="shared" si="1"/>
        <v>0</v>
      </c>
      <c r="AQ14" s="151">
        <f t="shared" si="2"/>
        <v>0</v>
      </c>
      <c r="AR14" s="151">
        <f t="shared" si="3"/>
        <v>0</v>
      </c>
    </row>
    <row r="15" spans="1:44" ht="23.25">
      <c r="A15" s="124">
        <v>1101030101</v>
      </c>
      <c r="B15" s="125" t="s">
        <v>2</v>
      </c>
      <c r="D15" s="126">
        <v>9326005097</v>
      </c>
      <c r="E15" s="127" t="s">
        <v>10</v>
      </c>
      <c r="AL15" s="209">
        <f t="shared" si="0"/>
        <v>0</v>
      </c>
      <c r="AO15" s="253">
        <f t="shared" si="1"/>
        <v>0</v>
      </c>
      <c r="AQ15" s="151">
        <f t="shared" si="2"/>
        <v>0</v>
      </c>
      <c r="AR15" s="151">
        <f t="shared" si="3"/>
        <v>0</v>
      </c>
    </row>
    <row r="16" spans="1:44" ht="23.25">
      <c r="A16" s="124">
        <v>1101030101</v>
      </c>
      <c r="B16" s="125" t="s">
        <v>2</v>
      </c>
      <c r="D16" s="126">
        <v>9326012476</v>
      </c>
      <c r="E16" s="127" t="s">
        <v>11</v>
      </c>
      <c r="AL16" s="209">
        <f t="shared" si="0"/>
        <v>0</v>
      </c>
      <c r="AO16" s="253">
        <f t="shared" si="1"/>
        <v>0</v>
      </c>
      <c r="AQ16" s="151">
        <f t="shared" si="2"/>
        <v>0</v>
      </c>
      <c r="AR16" s="151">
        <f t="shared" si="3"/>
        <v>0</v>
      </c>
    </row>
    <row r="17" spans="1:44" ht="23.25">
      <c r="A17" s="124">
        <v>1101030101</v>
      </c>
      <c r="B17" s="125" t="s">
        <v>14</v>
      </c>
      <c r="D17" s="129" t="s">
        <v>44</v>
      </c>
      <c r="E17" s="130" t="s">
        <v>49</v>
      </c>
      <c r="AL17" s="209">
        <f t="shared" si="0"/>
        <v>0</v>
      </c>
      <c r="AO17" s="253">
        <f t="shared" si="1"/>
        <v>0</v>
      </c>
      <c r="AQ17" s="151">
        <f t="shared" si="2"/>
        <v>0</v>
      </c>
      <c r="AR17" s="151">
        <f t="shared" si="3"/>
        <v>0</v>
      </c>
    </row>
    <row r="18" spans="1:44" s="205" customFormat="1" ht="23.25">
      <c r="A18" s="204">
        <v>1101030101</v>
      </c>
      <c r="D18" s="206">
        <v>9326016978</v>
      </c>
      <c r="E18" s="207" t="s">
        <v>142</v>
      </c>
      <c r="F18" s="166">
        <v>128100</v>
      </c>
      <c r="G18" s="163"/>
      <c r="H18" s="164"/>
      <c r="I18" s="163">
        <v>1700</v>
      </c>
      <c r="J18" s="163"/>
      <c r="K18" s="163"/>
      <c r="L18" s="163">
        <v>3000</v>
      </c>
      <c r="M18" s="163">
        <v>900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>
        <f>-7400</f>
        <v>-7400</v>
      </c>
      <c r="AH18" s="163"/>
      <c r="AI18" s="163"/>
      <c r="AJ18" s="163"/>
      <c r="AK18" s="163"/>
      <c r="AL18" s="209">
        <f t="shared" si="0"/>
        <v>126300</v>
      </c>
      <c r="AM18" s="208"/>
      <c r="AN18" s="222">
        <v>126300</v>
      </c>
      <c r="AO18" s="253">
        <f>AN18-AL18</f>
        <v>0</v>
      </c>
      <c r="AP18" s="204"/>
      <c r="AQ18" s="151">
        <f t="shared" si="2"/>
        <v>126300</v>
      </c>
      <c r="AR18" s="151">
        <f t="shared" si="3"/>
        <v>0</v>
      </c>
    </row>
    <row r="19" spans="5:44" ht="23.25">
      <c r="E19" s="127"/>
      <c r="F19" s="131">
        <v>0</v>
      </c>
      <c r="AL19" s="209">
        <f t="shared" si="0"/>
        <v>0</v>
      </c>
      <c r="AQ19" s="151">
        <f t="shared" si="2"/>
        <v>0</v>
      </c>
      <c r="AR19" s="151">
        <f t="shared" si="3"/>
        <v>0</v>
      </c>
    </row>
    <row r="20" spans="1:44" s="135" customFormat="1" ht="23.25">
      <c r="A20" s="132" t="s">
        <v>12</v>
      </c>
      <c r="B20" s="132" t="s">
        <v>0</v>
      </c>
      <c r="C20" s="132"/>
      <c r="D20" s="133"/>
      <c r="E20" s="134"/>
      <c r="F20" s="131">
        <v>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209">
        <f t="shared" si="0"/>
        <v>0</v>
      </c>
      <c r="AM20" s="131"/>
      <c r="AN20" s="226"/>
      <c r="AO20" s="266"/>
      <c r="AP20" s="132"/>
      <c r="AQ20" s="151">
        <f t="shared" si="2"/>
        <v>0</v>
      </c>
      <c r="AR20" s="151">
        <f t="shared" si="3"/>
        <v>0</v>
      </c>
    </row>
    <row r="21" spans="1:44" ht="23.25">
      <c r="A21" s="124">
        <v>1101030102</v>
      </c>
      <c r="B21" s="125" t="s">
        <v>2</v>
      </c>
      <c r="C21" s="111" t="s">
        <v>86</v>
      </c>
      <c r="D21" s="187">
        <v>9321080872</v>
      </c>
      <c r="E21" s="127" t="s">
        <v>5</v>
      </c>
      <c r="F21" s="128">
        <v>72593161.11</v>
      </c>
      <c r="H21" s="163"/>
      <c r="I21" s="163">
        <f>6618059+360774.5+200-438244.88</f>
        <v>6540788.62</v>
      </c>
      <c r="J21" s="163">
        <f>211750-212591.4</f>
        <v>-841.3999999999942</v>
      </c>
      <c r="K21" s="163">
        <f>18501803.18-53000+170954.06</f>
        <v>18619757.24</v>
      </c>
      <c r="L21" s="163">
        <f>9285+32435-128838.63+153155+73148</f>
        <v>139184.37</v>
      </c>
      <c r="M21" s="163">
        <f>197425.21-1664057.58-52191.74+1180001.33+229126.53</f>
        <v>-109696.25000000003</v>
      </c>
      <c r="Q21" s="163">
        <f>-180571.53+424764.19</f>
        <v>244192.66</v>
      </c>
      <c r="R21" s="163">
        <f>207256.04+267567-748738.99-180715.18</f>
        <v>-454631.12999999995</v>
      </c>
      <c r="S21" s="163">
        <f>250380-602511.73+192507+33419.9</f>
        <v>-126204.82999999999</v>
      </c>
      <c r="T21" s="163">
        <f>118491+79283-166075.5-2939401.91</f>
        <v>-2907703.41</v>
      </c>
      <c r="W21" s="163">
        <f>-1920447.56+303494.18+600</f>
        <v>-1616353.3800000001</v>
      </c>
      <c r="X21" s="164">
        <f>24500+9243130-366977.56+162368+131257</f>
        <v>9194277.44</v>
      </c>
      <c r="Y21" s="163">
        <f>152838-12-477157.86+190045+1993</f>
        <v>-132293.86</v>
      </c>
      <c r="Z21" s="163">
        <f>185732.03+69965-283974.2</f>
        <v>-28277.170000000013</v>
      </c>
      <c r="AA21" s="163">
        <f>17633-802472.42+146572.83+8052</f>
        <v>-630214.5900000001</v>
      </c>
      <c r="AD21" s="163">
        <f>-674209.54+327248</f>
        <v>-346961.54000000004</v>
      </c>
      <c r="AE21" s="163">
        <f>2309+169210-6-6884767.02-13818000+196759+43394</f>
        <v>-20291101.02</v>
      </c>
      <c r="AF21" s="163">
        <f>397+140895.92</f>
        <v>141292.92</v>
      </c>
      <c r="AG21" s="163">
        <f>309412+161479.22-1341068.5</f>
        <v>-870177.28</v>
      </c>
      <c r="AK21" s="163">
        <f>20000-7855334.77+460720+1000-962164.59</f>
        <v>-8335779.359999999</v>
      </c>
      <c r="AL21" s="209">
        <f t="shared" si="0"/>
        <v>71622419.14</v>
      </c>
      <c r="AN21" s="226">
        <v>85636943.83</v>
      </c>
      <c r="AO21" s="253">
        <f>AN21-AL21</f>
        <v>14014524.689999998</v>
      </c>
      <c r="AP21" s="124" t="s">
        <v>93</v>
      </c>
      <c r="AQ21" s="151">
        <f>AL21+AO21</f>
        <v>85636943.83</v>
      </c>
      <c r="AR21" s="151">
        <f>AN21-AQ21</f>
        <v>0</v>
      </c>
    </row>
    <row r="22" spans="1:44" ht="23.25">
      <c r="A22" s="124">
        <v>1101030102</v>
      </c>
      <c r="B22" s="125" t="s">
        <v>15</v>
      </c>
      <c r="C22" s="111" t="s">
        <v>50</v>
      </c>
      <c r="D22" s="126">
        <v>9091058013</v>
      </c>
      <c r="E22" s="127" t="s">
        <v>6</v>
      </c>
      <c r="F22" s="128">
        <v>1836095.24</v>
      </c>
      <c r="AL22" s="209">
        <f t="shared" si="0"/>
        <v>1836095.24</v>
      </c>
      <c r="AN22" s="222">
        <v>1836095.24</v>
      </c>
      <c r="AO22" s="253">
        <f aca="true" t="shared" si="4" ref="AO22:AO55">AN22-AL22</f>
        <v>0</v>
      </c>
      <c r="AQ22" s="151">
        <f aca="true" t="shared" si="5" ref="AQ22:AQ56">AL22+AO22</f>
        <v>1836095.24</v>
      </c>
      <c r="AR22" s="151">
        <f aca="true" t="shared" si="6" ref="AR22:AR56">AN22-AQ22</f>
        <v>0</v>
      </c>
    </row>
    <row r="23" spans="1:44" ht="23.25">
      <c r="A23" s="124">
        <v>1101030102</v>
      </c>
      <c r="B23" s="125" t="s">
        <v>2</v>
      </c>
      <c r="C23" s="111" t="s">
        <v>51</v>
      </c>
      <c r="D23" s="126">
        <v>9321044531</v>
      </c>
      <c r="E23" s="127" t="s">
        <v>7</v>
      </c>
      <c r="F23" s="128">
        <v>12794.03</v>
      </c>
      <c r="AL23" s="209">
        <f t="shared" si="0"/>
        <v>12794.03</v>
      </c>
      <c r="AN23" s="222">
        <v>12294.03</v>
      </c>
      <c r="AO23" s="253">
        <f t="shared" si="4"/>
        <v>-500</v>
      </c>
      <c r="AP23" s="124" t="s">
        <v>92</v>
      </c>
      <c r="AQ23" s="151">
        <f t="shared" si="5"/>
        <v>12294.03</v>
      </c>
      <c r="AR23" s="151">
        <f t="shared" si="6"/>
        <v>0</v>
      </c>
    </row>
    <row r="24" spans="1:44" s="216" customFormat="1" ht="23.25">
      <c r="A24" s="215">
        <v>1101030102</v>
      </c>
      <c r="B24" s="216" t="s">
        <v>15</v>
      </c>
      <c r="C24" s="217" t="s">
        <v>52</v>
      </c>
      <c r="D24" s="218">
        <v>9092199648</v>
      </c>
      <c r="E24" s="219" t="s">
        <v>8</v>
      </c>
      <c r="F24" s="159">
        <v>172380.83000000007</v>
      </c>
      <c r="G24" s="227"/>
      <c r="H24" s="158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09">
        <f t="shared" si="0"/>
        <v>172380.83000000007</v>
      </c>
      <c r="AM24" s="159"/>
      <c r="AN24" s="227">
        <v>174360.81</v>
      </c>
      <c r="AO24" s="267">
        <f t="shared" si="4"/>
        <v>1979.9799999999232</v>
      </c>
      <c r="AP24" s="215" t="s">
        <v>93</v>
      </c>
      <c r="AQ24" s="220">
        <f t="shared" si="5"/>
        <v>174360.81</v>
      </c>
      <c r="AR24" s="220">
        <f t="shared" si="6"/>
        <v>0</v>
      </c>
    </row>
    <row r="25" spans="1:44" ht="23.25">
      <c r="A25" s="124">
        <v>1101030102</v>
      </c>
      <c r="B25" s="125" t="s">
        <v>13</v>
      </c>
      <c r="C25" s="111" t="s">
        <v>143</v>
      </c>
      <c r="D25" s="129" t="s">
        <v>128</v>
      </c>
      <c r="E25" s="207" t="s">
        <v>147</v>
      </c>
      <c r="F25" s="128">
        <v>13906077.27</v>
      </c>
      <c r="K25" s="163">
        <v>-93929.87</v>
      </c>
      <c r="M25" s="163">
        <f>-660328.84</f>
        <v>-660328.84</v>
      </c>
      <c r="Q25" s="163">
        <f>-55179.44</f>
        <v>-55179.44</v>
      </c>
      <c r="R25" s="163">
        <v>-580193.67</v>
      </c>
      <c r="S25" s="163">
        <f>-515906.5+270</f>
        <v>-515636.5</v>
      </c>
      <c r="T25" s="163">
        <f>1590.97-1817102.03</f>
        <v>-1815511.06</v>
      </c>
      <c r="W25" s="163">
        <f>2912-4144212.8</f>
        <v>-4141300.8</v>
      </c>
      <c r="X25" s="163">
        <f>-23171.4+261.12</f>
        <v>-22910.280000000002</v>
      </c>
      <c r="Y25" s="163">
        <f>-96811.68</f>
        <v>-96811.68</v>
      </c>
      <c r="Z25" s="163">
        <f>2196.04-76555.28</f>
        <v>-74359.24</v>
      </c>
      <c r="AF25" s="163">
        <f>-16811.2</f>
        <v>-16811.2</v>
      </c>
      <c r="AG25" s="163">
        <f>-916067.81</f>
        <v>-916067.81</v>
      </c>
      <c r="AL25" s="259">
        <v>5577365.72</v>
      </c>
      <c r="AN25" s="222">
        <v>4917036.88</v>
      </c>
      <c r="AO25" s="253">
        <f t="shared" si="4"/>
        <v>-660328.8399999999</v>
      </c>
      <c r="AP25" s="124" t="s">
        <v>92</v>
      </c>
      <c r="AQ25" s="151">
        <f t="shared" si="5"/>
        <v>4917036.88</v>
      </c>
      <c r="AR25" s="151">
        <f t="shared" si="6"/>
        <v>0</v>
      </c>
    </row>
    <row r="26" spans="1:44" ht="23.25">
      <c r="A26" s="124">
        <v>1101030102</v>
      </c>
      <c r="B26" s="125" t="s">
        <v>2</v>
      </c>
      <c r="C26" s="111" t="s">
        <v>53</v>
      </c>
      <c r="D26" s="126">
        <v>9321151400</v>
      </c>
      <c r="E26" s="127" t="s">
        <v>17</v>
      </c>
      <c r="F26" s="128">
        <v>15793.57</v>
      </c>
      <c r="AL26" s="209">
        <f t="shared" si="0"/>
        <v>15793.57</v>
      </c>
      <c r="AN26" s="222">
        <v>15793.57</v>
      </c>
      <c r="AO26" s="253">
        <f t="shared" si="4"/>
        <v>0</v>
      </c>
      <c r="AQ26" s="151">
        <f t="shared" si="5"/>
        <v>15793.57</v>
      </c>
      <c r="AR26" s="151">
        <f t="shared" si="6"/>
        <v>0</v>
      </c>
    </row>
    <row r="27" spans="1:44" ht="23.25">
      <c r="A27" s="124">
        <v>1101030102</v>
      </c>
      <c r="B27" s="125" t="s">
        <v>2</v>
      </c>
      <c r="C27" s="111" t="s">
        <v>54</v>
      </c>
      <c r="D27" s="126">
        <v>9321484736</v>
      </c>
      <c r="E27" s="127" t="s">
        <v>19</v>
      </c>
      <c r="F27" s="128">
        <v>0</v>
      </c>
      <c r="AL27" s="209">
        <f t="shared" si="0"/>
        <v>0</v>
      </c>
      <c r="AO27" s="253">
        <f t="shared" si="4"/>
        <v>0</v>
      </c>
      <c r="AQ27" s="151">
        <f t="shared" si="5"/>
        <v>0</v>
      </c>
      <c r="AR27" s="151">
        <f t="shared" si="6"/>
        <v>0</v>
      </c>
    </row>
    <row r="28" spans="1:44" ht="23.25">
      <c r="A28" s="124">
        <v>1101030102</v>
      </c>
      <c r="B28" s="125" t="s">
        <v>2</v>
      </c>
      <c r="C28" s="111" t="s">
        <v>55</v>
      </c>
      <c r="D28" s="126">
        <v>9321441107</v>
      </c>
      <c r="E28" s="127" t="s">
        <v>20</v>
      </c>
      <c r="F28" s="128">
        <v>41917.54</v>
      </c>
      <c r="AL28" s="209">
        <f t="shared" si="0"/>
        <v>41917.54</v>
      </c>
      <c r="AN28" s="222">
        <v>41917.54</v>
      </c>
      <c r="AO28" s="253">
        <f t="shared" si="4"/>
        <v>0</v>
      </c>
      <c r="AQ28" s="151">
        <f t="shared" si="5"/>
        <v>41917.54</v>
      </c>
      <c r="AR28" s="151">
        <f t="shared" si="6"/>
        <v>0</v>
      </c>
    </row>
    <row r="29" spans="1:44" ht="23.25">
      <c r="A29" s="124">
        <v>1101030102</v>
      </c>
      <c r="B29" s="125" t="s">
        <v>2</v>
      </c>
      <c r="C29" s="111" t="s">
        <v>77</v>
      </c>
      <c r="D29" s="126">
        <v>9321441638</v>
      </c>
      <c r="E29" s="127" t="s">
        <v>21</v>
      </c>
      <c r="F29" s="128">
        <v>3913.86</v>
      </c>
      <c r="AL29" s="209">
        <f t="shared" si="0"/>
        <v>3913.86</v>
      </c>
      <c r="AN29" s="222">
        <v>3913.86</v>
      </c>
      <c r="AO29" s="253">
        <f t="shared" si="4"/>
        <v>0</v>
      </c>
      <c r="AQ29" s="151">
        <f t="shared" si="5"/>
        <v>3913.86</v>
      </c>
      <c r="AR29" s="151">
        <f t="shared" si="6"/>
        <v>0</v>
      </c>
    </row>
    <row r="30" spans="1:44" ht="23.25">
      <c r="A30" s="124">
        <v>1101030102</v>
      </c>
      <c r="B30" s="125" t="s">
        <v>2</v>
      </c>
      <c r="C30" s="111" t="s">
        <v>56</v>
      </c>
      <c r="D30" s="126">
        <v>9321474838</v>
      </c>
      <c r="E30" s="127" t="s">
        <v>22</v>
      </c>
      <c r="F30" s="128">
        <v>4387.09</v>
      </c>
      <c r="AL30" s="209">
        <f t="shared" si="0"/>
        <v>4387.09</v>
      </c>
      <c r="AN30" s="222">
        <v>4387.09</v>
      </c>
      <c r="AO30" s="253">
        <f t="shared" si="4"/>
        <v>0</v>
      </c>
      <c r="AQ30" s="151">
        <f t="shared" si="5"/>
        <v>4387.09</v>
      </c>
      <c r="AR30" s="151">
        <f t="shared" si="6"/>
        <v>0</v>
      </c>
    </row>
    <row r="31" spans="1:44" ht="23.25">
      <c r="A31" s="124">
        <v>1101030102</v>
      </c>
      <c r="B31" s="125" t="s">
        <v>2</v>
      </c>
      <c r="C31" s="111" t="s">
        <v>57</v>
      </c>
      <c r="D31" s="126">
        <v>9320023573</v>
      </c>
      <c r="E31" s="127" t="s">
        <v>23</v>
      </c>
      <c r="F31" s="128">
        <v>101071.68</v>
      </c>
      <c r="AL31" s="209">
        <f t="shared" si="0"/>
        <v>101071.68</v>
      </c>
      <c r="AN31" s="222">
        <v>101071.68</v>
      </c>
      <c r="AO31" s="253">
        <f t="shared" si="4"/>
        <v>0</v>
      </c>
      <c r="AQ31" s="151">
        <f t="shared" si="5"/>
        <v>101071.68</v>
      </c>
      <c r="AR31" s="151">
        <f t="shared" si="6"/>
        <v>0</v>
      </c>
    </row>
    <row r="32" spans="1:44" s="137" customFormat="1" ht="23.25">
      <c r="A32" s="136">
        <v>1101030102</v>
      </c>
      <c r="B32" s="137" t="s">
        <v>2</v>
      </c>
      <c r="C32" s="112" t="s">
        <v>58</v>
      </c>
      <c r="D32" s="138">
        <v>9321188886</v>
      </c>
      <c r="E32" s="139" t="s">
        <v>24</v>
      </c>
      <c r="F32" s="140">
        <v>0</v>
      </c>
      <c r="G32" s="165"/>
      <c r="H32" s="237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209">
        <f t="shared" si="0"/>
        <v>0</v>
      </c>
      <c r="AM32" s="140"/>
      <c r="AN32" s="228"/>
      <c r="AO32" s="253">
        <f t="shared" si="4"/>
        <v>0</v>
      </c>
      <c r="AP32" s="136"/>
      <c r="AQ32" s="151">
        <f t="shared" si="5"/>
        <v>0</v>
      </c>
      <c r="AR32" s="151">
        <f t="shared" si="6"/>
        <v>0</v>
      </c>
    </row>
    <row r="33" spans="1:44" ht="23.25">
      <c r="A33" s="124">
        <v>1101030102</v>
      </c>
      <c r="B33" s="125" t="s">
        <v>2</v>
      </c>
      <c r="C33" s="111" t="s">
        <v>48</v>
      </c>
      <c r="D33" s="187">
        <v>9321108904</v>
      </c>
      <c r="E33" s="127" t="s">
        <v>25</v>
      </c>
      <c r="F33" s="128">
        <v>1932964.86</v>
      </c>
      <c r="M33" s="163">
        <v>-37644.12</v>
      </c>
      <c r="W33" s="163">
        <f>-77667.29</f>
        <v>-77667.29</v>
      </c>
      <c r="Y33" s="163">
        <f>2345125+777997.5</f>
        <v>3123122.5</v>
      </c>
      <c r="AL33" s="209">
        <f t="shared" si="0"/>
        <v>4940775.95</v>
      </c>
      <c r="AN33" s="222">
        <v>8059263.12</v>
      </c>
      <c r="AO33" s="253">
        <f t="shared" si="4"/>
        <v>3118487.17</v>
      </c>
      <c r="AP33" s="124" t="s">
        <v>93</v>
      </c>
      <c r="AQ33" s="151">
        <f t="shared" si="5"/>
        <v>8059263.12</v>
      </c>
      <c r="AR33" s="151">
        <f t="shared" si="6"/>
        <v>0</v>
      </c>
    </row>
    <row r="34" spans="1:44" s="137" customFormat="1" ht="23.25">
      <c r="A34" s="136">
        <v>1101030102</v>
      </c>
      <c r="B34" s="137" t="s">
        <v>14</v>
      </c>
      <c r="C34" s="112" t="s">
        <v>59</v>
      </c>
      <c r="D34" s="141" t="s">
        <v>16</v>
      </c>
      <c r="E34" s="139" t="s">
        <v>26</v>
      </c>
      <c r="F34" s="142">
        <v>0</v>
      </c>
      <c r="G34" s="165"/>
      <c r="H34" s="237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209">
        <f t="shared" si="0"/>
        <v>0</v>
      </c>
      <c r="AM34" s="140"/>
      <c r="AN34" s="228"/>
      <c r="AO34" s="253">
        <f t="shared" si="4"/>
        <v>0</v>
      </c>
      <c r="AP34" s="136"/>
      <c r="AQ34" s="151">
        <f t="shared" si="5"/>
        <v>0</v>
      </c>
      <c r="AR34" s="151">
        <f t="shared" si="6"/>
        <v>0</v>
      </c>
    </row>
    <row r="35" spans="1:44" s="135" customFormat="1" ht="23.25">
      <c r="A35" s="132">
        <v>1101030102</v>
      </c>
      <c r="B35" s="135" t="s">
        <v>14</v>
      </c>
      <c r="C35" s="113" t="s">
        <v>76</v>
      </c>
      <c r="D35" s="188" t="s">
        <v>60</v>
      </c>
      <c r="E35" s="143" t="s">
        <v>27</v>
      </c>
      <c r="F35" s="131">
        <v>161310395.63</v>
      </c>
      <c r="G35" s="164"/>
      <c r="H35" s="164"/>
      <c r="I35" s="164"/>
      <c r="J35" s="164"/>
      <c r="K35" s="164">
        <v>-556846.73</v>
      </c>
      <c r="L35" s="164"/>
      <c r="M35" s="164">
        <f>-204648.13</f>
        <v>-204648.13</v>
      </c>
      <c r="N35" s="164"/>
      <c r="O35" s="164"/>
      <c r="P35" s="164"/>
      <c r="Q35" s="164"/>
      <c r="R35" s="164"/>
      <c r="S35" s="164"/>
      <c r="T35" s="164"/>
      <c r="U35" s="164"/>
      <c r="V35" s="164"/>
      <c r="W35" s="164">
        <f>10479.84</f>
        <v>10479.84</v>
      </c>
      <c r="X35" s="164"/>
      <c r="Y35" s="164"/>
      <c r="Z35" s="164"/>
      <c r="AA35" s="164"/>
      <c r="AB35" s="164"/>
      <c r="AC35" s="164"/>
      <c r="AD35" s="164"/>
      <c r="AE35" s="164"/>
      <c r="AF35" s="164"/>
      <c r="AG35" s="164">
        <f>96000+147700</f>
        <v>243700</v>
      </c>
      <c r="AH35" s="164"/>
      <c r="AI35" s="164"/>
      <c r="AJ35" s="164"/>
      <c r="AK35" s="164">
        <f>124000+2682294.6+430766+223981+38000+228589.85+8966854.4</f>
        <v>12694485.850000001</v>
      </c>
      <c r="AL35" s="209">
        <f t="shared" si="0"/>
        <v>173497566.46</v>
      </c>
      <c r="AM35" s="131"/>
      <c r="AN35" s="226">
        <v>159681566.46</v>
      </c>
      <c r="AO35" s="253">
        <f t="shared" si="4"/>
        <v>-13816000</v>
      </c>
      <c r="AP35" s="132" t="s">
        <v>92</v>
      </c>
      <c r="AQ35" s="151">
        <f t="shared" si="5"/>
        <v>159681566.46</v>
      </c>
      <c r="AR35" s="151">
        <f t="shared" si="6"/>
        <v>0</v>
      </c>
    </row>
    <row r="36" spans="1:44" ht="23.25">
      <c r="A36" s="124">
        <v>1101030102</v>
      </c>
      <c r="B36" s="125" t="s">
        <v>2</v>
      </c>
      <c r="C36" s="111" t="s">
        <v>61</v>
      </c>
      <c r="D36" s="187">
        <v>9320115583</v>
      </c>
      <c r="E36" s="127" t="s">
        <v>28</v>
      </c>
      <c r="F36" s="144">
        <v>15497010.77</v>
      </c>
      <c r="K36" s="163">
        <v>-11000</v>
      </c>
      <c r="M36" s="163">
        <f>-898.16</f>
        <v>-898.16</v>
      </c>
      <c r="X36" s="163">
        <f>1540</f>
        <v>1540</v>
      </c>
      <c r="Y36" s="163">
        <f>-4368</f>
        <v>-4368</v>
      </c>
      <c r="Z36" s="163">
        <f>-7900</f>
        <v>-7900</v>
      </c>
      <c r="AA36" s="163">
        <f>-16695</f>
        <v>-16695</v>
      </c>
      <c r="AD36" s="163">
        <f>-16800</f>
        <v>-16800</v>
      </c>
      <c r="AF36" s="163">
        <f>2793000-7800</f>
        <v>2785200</v>
      </c>
      <c r="AG36" s="163">
        <f>3049.01</f>
        <v>3049.01</v>
      </c>
      <c r="AK36" s="163">
        <f>-199497-140508.01</f>
        <v>-340005.01</v>
      </c>
      <c r="AL36" s="209">
        <f t="shared" si="0"/>
        <v>17889133.61</v>
      </c>
      <c r="AN36" s="222">
        <v>17825883.61</v>
      </c>
      <c r="AO36" s="253">
        <f t="shared" si="4"/>
        <v>-63250</v>
      </c>
      <c r="AP36" s="124" t="s">
        <v>92</v>
      </c>
      <c r="AQ36" s="151">
        <f t="shared" si="5"/>
        <v>17825883.61</v>
      </c>
      <c r="AR36" s="151">
        <f t="shared" si="6"/>
        <v>0</v>
      </c>
    </row>
    <row r="37" spans="1:44" ht="23.25">
      <c r="A37" s="124">
        <v>1101030102</v>
      </c>
      <c r="B37" s="125" t="s">
        <v>2</v>
      </c>
      <c r="C37" s="111" t="s">
        <v>62</v>
      </c>
      <c r="D37" s="126">
        <v>9320261059</v>
      </c>
      <c r="E37" s="127" t="s">
        <v>29</v>
      </c>
      <c r="F37" s="128">
        <v>48556209.07</v>
      </c>
      <c r="AE37" s="163">
        <f>-2361438.57</f>
        <v>-2361438.57</v>
      </c>
      <c r="AL37" s="209">
        <f t="shared" si="0"/>
        <v>46194770.5</v>
      </c>
      <c r="AN37" s="222">
        <v>46194770.5</v>
      </c>
      <c r="AO37" s="253">
        <f t="shared" si="4"/>
        <v>0</v>
      </c>
      <c r="AQ37" s="151">
        <f t="shared" si="5"/>
        <v>46194770.5</v>
      </c>
      <c r="AR37" s="151">
        <f t="shared" si="6"/>
        <v>0</v>
      </c>
    </row>
    <row r="38" spans="1:44" ht="23.25">
      <c r="A38" s="124">
        <v>1101030102</v>
      </c>
      <c r="B38" s="125" t="s">
        <v>2</v>
      </c>
      <c r="C38" s="111" t="s">
        <v>63</v>
      </c>
      <c r="D38" s="126">
        <v>9320293791</v>
      </c>
      <c r="E38" s="127" t="s">
        <v>30</v>
      </c>
      <c r="F38" s="128">
        <v>10830433.23</v>
      </c>
      <c r="AD38" s="163">
        <f>3048000</f>
        <v>3048000</v>
      </c>
      <c r="AL38" s="209">
        <f t="shared" si="0"/>
        <v>13878433.23</v>
      </c>
      <c r="AN38" s="222">
        <v>13878433.23</v>
      </c>
      <c r="AO38" s="253">
        <f t="shared" si="4"/>
        <v>0</v>
      </c>
      <c r="AQ38" s="151">
        <f t="shared" si="5"/>
        <v>13878433.23</v>
      </c>
      <c r="AR38" s="151">
        <f t="shared" si="6"/>
        <v>0</v>
      </c>
    </row>
    <row r="39" spans="1:44" ht="23.25">
      <c r="A39" s="124">
        <v>1101030102</v>
      </c>
      <c r="B39" s="125" t="s">
        <v>2</v>
      </c>
      <c r="C39" s="111" t="s">
        <v>64</v>
      </c>
      <c r="D39" s="126">
        <v>9320293783</v>
      </c>
      <c r="E39" s="127" t="s">
        <v>34</v>
      </c>
      <c r="F39" s="128">
        <v>10814819.98</v>
      </c>
      <c r="AL39" s="209">
        <f t="shared" si="0"/>
        <v>10814819.98</v>
      </c>
      <c r="AN39" s="222">
        <v>10814819.98</v>
      </c>
      <c r="AO39" s="253">
        <f t="shared" si="4"/>
        <v>0</v>
      </c>
      <c r="AQ39" s="151">
        <f t="shared" si="5"/>
        <v>10814819.98</v>
      </c>
      <c r="AR39" s="151">
        <f t="shared" si="6"/>
        <v>0</v>
      </c>
    </row>
    <row r="40" spans="1:44" ht="23.25">
      <c r="A40" s="124">
        <v>1101030102</v>
      </c>
      <c r="B40" s="125" t="s">
        <v>2</v>
      </c>
      <c r="C40" s="111" t="s">
        <v>47</v>
      </c>
      <c r="D40" s="187">
        <v>9320344507</v>
      </c>
      <c r="E40" s="127" t="s">
        <v>35</v>
      </c>
      <c r="F40" s="128">
        <v>6804154.94</v>
      </c>
      <c r="K40" s="163">
        <v>7000</v>
      </c>
      <c r="L40" s="163">
        <v>3200</v>
      </c>
      <c r="M40" s="163">
        <f>-128.97+1600+1600</f>
        <v>3071.0299999999997</v>
      </c>
      <c r="Q40" s="163">
        <v>1965</v>
      </c>
      <c r="R40" s="163">
        <v>16000</v>
      </c>
      <c r="T40" s="163">
        <v>6765</v>
      </c>
      <c r="W40" s="163">
        <f>4800</f>
        <v>4800</v>
      </c>
      <c r="X40" s="163">
        <f>3200</f>
        <v>3200</v>
      </c>
      <c r="AA40" s="163">
        <f>-76271</f>
        <v>-76271</v>
      </c>
      <c r="AD40" s="163">
        <f>25565</f>
        <v>25565</v>
      </c>
      <c r="AE40" s="163">
        <v>11565</v>
      </c>
      <c r="AF40" s="163">
        <f>41086+10695</f>
        <v>51781</v>
      </c>
      <c r="AK40" s="163">
        <f>25600</f>
        <v>25600</v>
      </c>
      <c r="AL40" s="259">
        <v>6202502.13</v>
      </c>
      <c r="AN40" s="222">
        <v>6888737.97</v>
      </c>
      <c r="AO40" s="253">
        <f t="shared" si="4"/>
        <v>686235.8399999999</v>
      </c>
      <c r="AP40" s="124" t="s">
        <v>93</v>
      </c>
      <c r="AQ40" s="151">
        <f t="shared" si="5"/>
        <v>6888737.97</v>
      </c>
      <c r="AR40" s="151">
        <f t="shared" si="6"/>
        <v>0</v>
      </c>
    </row>
    <row r="41" spans="1:44" ht="23.25">
      <c r="A41" s="124">
        <v>1101030102</v>
      </c>
      <c r="B41" s="125" t="s">
        <v>2</v>
      </c>
      <c r="C41" s="111" t="s">
        <v>65</v>
      </c>
      <c r="D41" s="126">
        <v>9320429634</v>
      </c>
      <c r="E41" s="127" t="s">
        <v>36</v>
      </c>
      <c r="F41" s="128">
        <v>571143.55</v>
      </c>
      <c r="AL41" s="259">
        <v>596708.55</v>
      </c>
      <c r="AN41" s="222">
        <v>571143.55</v>
      </c>
      <c r="AO41" s="253">
        <f t="shared" si="4"/>
        <v>-25565</v>
      </c>
      <c r="AP41" s="124" t="s">
        <v>92</v>
      </c>
      <c r="AQ41" s="151">
        <f t="shared" si="5"/>
        <v>571143.55</v>
      </c>
      <c r="AR41" s="151">
        <f t="shared" si="6"/>
        <v>0</v>
      </c>
    </row>
    <row r="42" spans="1:44" ht="23.25">
      <c r="A42" s="124">
        <v>1101030102</v>
      </c>
      <c r="B42" s="125" t="s">
        <v>2</v>
      </c>
      <c r="C42" s="111" t="s">
        <v>66</v>
      </c>
      <c r="D42" s="129" t="s">
        <v>38</v>
      </c>
      <c r="E42" s="130" t="s">
        <v>37</v>
      </c>
      <c r="F42" s="128">
        <v>0</v>
      </c>
      <c r="AL42" s="209">
        <f t="shared" si="0"/>
        <v>0</v>
      </c>
      <c r="AO42" s="253">
        <f t="shared" si="4"/>
        <v>0</v>
      </c>
      <c r="AQ42" s="151">
        <f t="shared" si="5"/>
        <v>0</v>
      </c>
      <c r="AR42" s="151">
        <f t="shared" si="6"/>
        <v>0</v>
      </c>
    </row>
    <row r="43" spans="1:44" ht="23.25">
      <c r="A43" s="124">
        <v>1101030102</v>
      </c>
      <c r="B43" s="125" t="s">
        <v>2</v>
      </c>
      <c r="C43" s="111" t="s">
        <v>67</v>
      </c>
      <c r="D43" s="126">
        <v>9320515662</v>
      </c>
      <c r="E43" s="130" t="s">
        <v>81</v>
      </c>
      <c r="F43" s="128">
        <v>1551205.37</v>
      </c>
      <c r="AA43" s="163">
        <f>-6476</f>
        <v>-6476</v>
      </c>
      <c r="AG43" s="163">
        <f>-3714.41</f>
        <v>-3714.41</v>
      </c>
      <c r="AL43" s="209">
        <f t="shared" si="0"/>
        <v>1541014.9600000002</v>
      </c>
      <c r="AN43" s="222">
        <v>1541014.96</v>
      </c>
      <c r="AO43" s="253">
        <f t="shared" si="4"/>
        <v>0</v>
      </c>
      <c r="AQ43" s="151">
        <f t="shared" si="5"/>
        <v>1541014.9600000002</v>
      </c>
      <c r="AR43" s="151">
        <f t="shared" si="6"/>
        <v>0</v>
      </c>
    </row>
    <row r="44" spans="1:44" ht="23.25">
      <c r="A44" s="124">
        <v>1101030102</v>
      </c>
      <c r="B44" s="125" t="s">
        <v>14</v>
      </c>
      <c r="C44" s="111" t="s">
        <v>69</v>
      </c>
      <c r="D44" s="129" t="s">
        <v>43</v>
      </c>
      <c r="E44" s="130" t="s">
        <v>82</v>
      </c>
      <c r="F44" s="128">
        <v>36771.17</v>
      </c>
      <c r="L44" s="163">
        <v>97900</v>
      </c>
      <c r="X44" s="163">
        <f>-97900</f>
        <v>-97900</v>
      </c>
      <c r="AL44" s="209">
        <f t="shared" si="0"/>
        <v>36771.17</v>
      </c>
      <c r="AN44" s="222">
        <v>26271.17</v>
      </c>
      <c r="AO44" s="253">
        <f t="shared" si="4"/>
        <v>-10500</v>
      </c>
      <c r="AP44" s="124" t="s">
        <v>92</v>
      </c>
      <c r="AQ44" s="151">
        <f t="shared" si="5"/>
        <v>26271.17</v>
      </c>
      <c r="AR44" s="151">
        <f t="shared" si="6"/>
        <v>0</v>
      </c>
    </row>
    <row r="45" spans="1:44" ht="23.25">
      <c r="A45" s="124">
        <v>1101030102</v>
      </c>
      <c r="B45" s="125" t="s">
        <v>2</v>
      </c>
      <c r="C45" s="111" t="s">
        <v>70</v>
      </c>
      <c r="D45" s="126">
        <v>9320614350</v>
      </c>
      <c r="E45" s="130" t="s">
        <v>83</v>
      </c>
      <c r="F45" s="128">
        <v>390028.02</v>
      </c>
      <c r="M45" s="163">
        <f>-90560.75</f>
        <v>-90560.75</v>
      </c>
      <c r="W45" s="163">
        <f>-3480</f>
        <v>-3480</v>
      </c>
      <c r="AE45" s="163">
        <f>-16760</f>
        <v>-16760</v>
      </c>
      <c r="AL45" s="259">
        <v>282707.27</v>
      </c>
      <c r="AN45" s="222">
        <v>369788.02</v>
      </c>
      <c r="AO45" s="253">
        <f t="shared" si="4"/>
        <v>87080.75</v>
      </c>
      <c r="AP45" s="124" t="s">
        <v>93</v>
      </c>
      <c r="AQ45" s="151">
        <f t="shared" si="5"/>
        <v>369788.02</v>
      </c>
      <c r="AR45" s="151">
        <f t="shared" si="6"/>
        <v>0</v>
      </c>
    </row>
    <row r="46" spans="1:44" ht="23.25">
      <c r="A46" s="124">
        <v>1101030102</v>
      </c>
      <c r="B46" s="125" t="s">
        <v>13</v>
      </c>
      <c r="C46" s="111" t="s">
        <v>68</v>
      </c>
      <c r="D46" s="126">
        <v>5081084530</v>
      </c>
      <c r="E46" s="127" t="s">
        <v>84</v>
      </c>
      <c r="F46" s="128">
        <v>123420.31</v>
      </c>
      <c r="AL46" s="259">
        <v>119940.31</v>
      </c>
      <c r="AN46" s="222">
        <v>123420.31</v>
      </c>
      <c r="AO46" s="253">
        <f t="shared" si="4"/>
        <v>3480</v>
      </c>
      <c r="AP46" s="124" t="s">
        <v>93</v>
      </c>
      <c r="AQ46" s="151">
        <f t="shared" si="5"/>
        <v>123420.31</v>
      </c>
      <c r="AR46" s="151">
        <f t="shared" si="6"/>
        <v>0</v>
      </c>
    </row>
    <row r="47" spans="1:44" ht="23.25">
      <c r="A47" s="124">
        <v>1101030102</v>
      </c>
      <c r="B47" s="125" t="s">
        <v>89</v>
      </c>
      <c r="C47" s="111" t="s">
        <v>87</v>
      </c>
      <c r="D47" s="129" t="s">
        <v>88</v>
      </c>
      <c r="E47" s="145" t="s">
        <v>90</v>
      </c>
      <c r="F47" s="128">
        <v>25143734.23</v>
      </c>
      <c r="M47" s="163">
        <f>-21020.56</f>
        <v>-21020.56</v>
      </c>
      <c r="AL47" s="209">
        <f t="shared" si="0"/>
        <v>25122713.67</v>
      </c>
      <c r="AN47" s="222">
        <v>25122713.67</v>
      </c>
      <c r="AO47" s="253">
        <f t="shared" si="4"/>
        <v>0</v>
      </c>
      <c r="AQ47" s="151">
        <f t="shared" si="5"/>
        <v>25122713.67</v>
      </c>
      <c r="AR47" s="151">
        <f t="shared" si="6"/>
        <v>0</v>
      </c>
    </row>
    <row r="48" spans="1:44" ht="23.25">
      <c r="A48" s="124">
        <v>1101030102</v>
      </c>
      <c r="C48" s="111" t="s">
        <v>99</v>
      </c>
      <c r="D48" s="126" t="s">
        <v>100</v>
      </c>
      <c r="E48" s="146" t="s">
        <v>103</v>
      </c>
      <c r="F48" s="147">
        <v>84703.91</v>
      </c>
      <c r="AL48" s="209">
        <f t="shared" si="0"/>
        <v>84703.91</v>
      </c>
      <c r="AN48" s="222">
        <v>84703.91</v>
      </c>
      <c r="AO48" s="253">
        <f t="shared" si="4"/>
        <v>0</v>
      </c>
      <c r="AQ48" s="151">
        <f t="shared" si="5"/>
        <v>84703.91</v>
      </c>
      <c r="AR48" s="151">
        <f t="shared" si="6"/>
        <v>0</v>
      </c>
    </row>
    <row r="49" spans="1:44" ht="23.25">
      <c r="A49" s="124">
        <v>1101030102</v>
      </c>
      <c r="C49" s="111" t="s">
        <v>107</v>
      </c>
      <c r="D49" s="148" t="s">
        <v>108</v>
      </c>
      <c r="E49" s="149" t="s">
        <v>111</v>
      </c>
      <c r="F49" s="128">
        <v>6353834.91</v>
      </c>
      <c r="AL49" s="209">
        <f t="shared" si="0"/>
        <v>6353834.91</v>
      </c>
      <c r="AN49" s="222">
        <v>6353834.91</v>
      </c>
      <c r="AO49" s="253">
        <f t="shared" si="4"/>
        <v>0</v>
      </c>
      <c r="AQ49" s="151">
        <f t="shared" si="5"/>
        <v>6353834.91</v>
      </c>
      <c r="AR49" s="151">
        <f t="shared" si="6"/>
        <v>0</v>
      </c>
    </row>
    <row r="50" spans="1:44" ht="23.25">
      <c r="A50" s="124">
        <v>1101030102</v>
      </c>
      <c r="B50" s="135" t="s">
        <v>0</v>
      </c>
      <c r="C50" s="111" t="s">
        <v>120</v>
      </c>
      <c r="D50" s="241">
        <v>9320830827</v>
      </c>
      <c r="E50" s="149" t="s">
        <v>121</v>
      </c>
      <c r="F50" s="150">
        <v>18783556.64</v>
      </c>
      <c r="M50" s="163">
        <v>162249</v>
      </c>
      <c r="R50" s="163">
        <v>10000</v>
      </c>
      <c r="AD50" s="163">
        <f>150000</f>
        <v>150000</v>
      </c>
      <c r="AK50" s="163">
        <f>200000</f>
        <v>200000</v>
      </c>
      <c r="AL50" s="209">
        <f t="shared" si="0"/>
        <v>19305805.64</v>
      </c>
      <c r="AN50" s="222">
        <v>19015244.89</v>
      </c>
      <c r="AO50" s="253">
        <f t="shared" si="4"/>
        <v>-290560.75</v>
      </c>
      <c r="AP50" s="124" t="s">
        <v>92</v>
      </c>
      <c r="AQ50" s="151">
        <f t="shared" si="5"/>
        <v>19015244.89</v>
      </c>
      <c r="AR50" s="151">
        <f t="shared" si="6"/>
        <v>0</v>
      </c>
    </row>
    <row r="51" spans="1:44" ht="23.25">
      <c r="A51" s="124">
        <v>1101030102</v>
      </c>
      <c r="B51" s="135"/>
      <c r="C51" s="111" t="s">
        <v>122</v>
      </c>
      <c r="D51" s="148">
        <v>9320821550</v>
      </c>
      <c r="E51" s="149" t="s">
        <v>123</v>
      </c>
      <c r="F51" s="150">
        <v>54089330.74</v>
      </c>
      <c r="AG51" s="163">
        <f>-5218830.79</f>
        <v>-5218830.79</v>
      </c>
      <c r="AL51" s="209">
        <f t="shared" si="0"/>
        <v>48870499.95</v>
      </c>
      <c r="AN51" s="222">
        <v>48870499.95</v>
      </c>
      <c r="AO51" s="253">
        <f t="shared" si="4"/>
        <v>0</v>
      </c>
      <c r="AQ51" s="151">
        <f t="shared" si="5"/>
        <v>48870499.95</v>
      </c>
      <c r="AR51" s="151">
        <f t="shared" si="6"/>
        <v>0</v>
      </c>
    </row>
    <row r="52" spans="1:44" ht="23.25">
      <c r="A52" s="124">
        <v>1101030102</v>
      </c>
      <c r="B52" s="135"/>
      <c r="C52" s="111" t="s">
        <v>125</v>
      </c>
      <c r="D52" s="148">
        <v>9320917914</v>
      </c>
      <c r="E52" s="149" t="s">
        <v>126</v>
      </c>
      <c r="F52" s="150">
        <v>7183.11</v>
      </c>
      <c r="AL52" s="209">
        <f t="shared" si="0"/>
        <v>7183.11</v>
      </c>
      <c r="AN52" s="222">
        <v>7183.11</v>
      </c>
      <c r="AO52" s="253">
        <f t="shared" si="4"/>
        <v>0</v>
      </c>
      <c r="AQ52" s="151">
        <f t="shared" si="5"/>
        <v>7183.11</v>
      </c>
      <c r="AR52" s="151">
        <f t="shared" si="6"/>
        <v>0</v>
      </c>
    </row>
    <row r="53" spans="1:44" ht="23.25">
      <c r="A53" s="124">
        <v>1101030102</v>
      </c>
      <c r="B53" s="132" t="s">
        <v>153</v>
      </c>
      <c r="C53" s="111" t="s">
        <v>152</v>
      </c>
      <c r="D53" s="148">
        <v>65110073186</v>
      </c>
      <c r="E53" s="149" t="s">
        <v>154</v>
      </c>
      <c r="F53" s="150">
        <v>0</v>
      </c>
      <c r="AL53" s="209">
        <f t="shared" si="0"/>
        <v>0</v>
      </c>
      <c r="AN53" s="222">
        <v>1690022.12</v>
      </c>
      <c r="AO53" s="253">
        <f t="shared" si="4"/>
        <v>1690022.12</v>
      </c>
      <c r="AP53" s="124" t="s">
        <v>93</v>
      </c>
      <c r="AQ53" s="151">
        <f t="shared" si="5"/>
        <v>1690022.12</v>
      </c>
      <c r="AR53" s="151">
        <f t="shared" si="6"/>
        <v>0</v>
      </c>
    </row>
    <row r="54" spans="1:44" ht="23.25">
      <c r="A54" s="132" t="s">
        <v>113</v>
      </c>
      <c r="B54" s="125" t="s">
        <v>114</v>
      </c>
      <c r="C54" s="111" t="s">
        <v>115</v>
      </c>
      <c r="D54" s="148">
        <v>65210028561</v>
      </c>
      <c r="E54" s="149" t="s">
        <v>116</v>
      </c>
      <c r="F54" s="150">
        <v>30000000</v>
      </c>
      <c r="AL54" s="209">
        <f t="shared" si="0"/>
        <v>30000000</v>
      </c>
      <c r="AN54" s="222">
        <v>30000000</v>
      </c>
      <c r="AO54" s="253">
        <f t="shared" si="4"/>
        <v>0</v>
      </c>
      <c r="AQ54" s="151">
        <f t="shared" si="5"/>
        <v>30000000</v>
      </c>
      <c r="AR54" s="151">
        <f t="shared" si="6"/>
        <v>0</v>
      </c>
    </row>
    <row r="55" spans="1:44" ht="23.25">
      <c r="A55" s="132" t="s">
        <v>113</v>
      </c>
      <c r="B55" s="125" t="s">
        <v>118</v>
      </c>
      <c r="C55" s="111" t="s">
        <v>62</v>
      </c>
      <c r="D55" s="148">
        <v>300020091397</v>
      </c>
      <c r="E55" s="149" t="s">
        <v>117</v>
      </c>
      <c r="F55" s="150">
        <v>10419049.05</v>
      </c>
      <c r="AL55" s="212">
        <f t="shared" si="0"/>
        <v>10419049.05</v>
      </c>
      <c r="AM55" s="147"/>
      <c r="AN55" s="229">
        <v>10419049.05</v>
      </c>
      <c r="AO55" s="268">
        <f t="shared" si="4"/>
        <v>0</v>
      </c>
      <c r="AP55" s="190"/>
      <c r="AQ55" s="262">
        <f t="shared" si="5"/>
        <v>10419049.05</v>
      </c>
      <c r="AR55" s="151">
        <f t="shared" si="6"/>
        <v>0</v>
      </c>
    </row>
    <row r="56" spans="3:44" ht="24" thickBot="1">
      <c r="C56" s="151"/>
      <c r="D56" s="152"/>
      <c r="F56" s="157">
        <f>SUM(F18:F55)</f>
        <v>492115641.71000016</v>
      </c>
      <c r="G56" s="164">
        <f aca="true" t="shared" si="7" ref="G56:AL56">SUM(G3:G55)</f>
        <v>0</v>
      </c>
      <c r="H56" s="164">
        <f t="shared" si="7"/>
        <v>0</v>
      </c>
      <c r="I56" s="164">
        <f t="shared" si="7"/>
        <v>6542488.62</v>
      </c>
      <c r="J56" s="164">
        <f t="shared" si="7"/>
        <v>-841.3999999999942</v>
      </c>
      <c r="K56" s="164">
        <f t="shared" si="7"/>
        <v>17964980.639999997</v>
      </c>
      <c r="L56" s="164">
        <f t="shared" si="7"/>
        <v>243284.37</v>
      </c>
      <c r="M56" s="164">
        <f t="shared" si="7"/>
        <v>-958576.78</v>
      </c>
      <c r="N56" s="164">
        <f t="shared" si="7"/>
        <v>0</v>
      </c>
      <c r="O56" s="164">
        <f t="shared" si="7"/>
        <v>0</v>
      </c>
      <c r="P56" s="164">
        <f t="shared" si="7"/>
        <v>0</v>
      </c>
      <c r="Q56" s="164">
        <f t="shared" si="7"/>
        <v>190980.22</v>
      </c>
      <c r="R56" s="164">
        <f t="shared" si="7"/>
        <v>-1008824.8</v>
      </c>
      <c r="S56" s="164">
        <f t="shared" si="7"/>
        <v>-641841.33</v>
      </c>
      <c r="T56" s="164">
        <f t="shared" si="7"/>
        <v>-4716449.470000001</v>
      </c>
      <c r="U56" s="164">
        <f t="shared" si="7"/>
        <v>0</v>
      </c>
      <c r="V56" s="164">
        <f t="shared" si="7"/>
        <v>0</v>
      </c>
      <c r="W56" s="164">
        <f t="shared" si="7"/>
        <v>-5823521.63</v>
      </c>
      <c r="X56" s="164">
        <f t="shared" si="7"/>
        <v>9078207.16</v>
      </c>
      <c r="Y56" s="164">
        <f t="shared" si="7"/>
        <v>2889648.96</v>
      </c>
      <c r="Z56" s="164">
        <f t="shared" si="7"/>
        <v>-110536.41000000002</v>
      </c>
      <c r="AA56" s="164">
        <f t="shared" si="7"/>
        <v>-729656.5900000001</v>
      </c>
      <c r="AB56" s="164">
        <f t="shared" si="7"/>
        <v>0</v>
      </c>
      <c r="AC56" s="164">
        <f t="shared" si="7"/>
        <v>0</v>
      </c>
      <c r="AD56" s="164">
        <f t="shared" si="7"/>
        <v>2859803.46</v>
      </c>
      <c r="AE56" s="164">
        <f t="shared" si="7"/>
        <v>-22657734.59</v>
      </c>
      <c r="AF56" s="164">
        <f t="shared" si="7"/>
        <v>2961462.72</v>
      </c>
      <c r="AG56" s="164">
        <f t="shared" si="7"/>
        <v>-6769441.28</v>
      </c>
      <c r="AH56" s="164">
        <f t="shared" si="7"/>
        <v>0</v>
      </c>
      <c r="AI56" s="164">
        <f t="shared" si="7"/>
        <v>0</v>
      </c>
      <c r="AJ56" s="164">
        <f t="shared" si="7"/>
        <v>0</v>
      </c>
      <c r="AK56" s="164">
        <f t="shared" si="7"/>
        <v>4244301.480000002</v>
      </c>
      <c r="AL56" s="213">
        <f t="shared" si="7"/>
        <v>495673375.0600001</v>
      </c>
      <c r="AM56" s="192"/>
      <c r="AN56" s="230">
        <f>SUM(AN3:AN55)</f>
        <v>500408479.02000016</v>
      </c>
      <c r="AO56" s="269">
        <f>SUM(AO13:AO55)</f>
        <v>4735103.959999998</v>
      </c>
      <c r="AP56" s="193"/>
      <c r="AQ56" s="199">
        <f t="shared" si="5"/>
        <v>500408479.0200001</v>
      </c>
      <c r="AR56" s="151">
        <f t="shared" si="6"/>
        <v>0</v>
      </c>
    </row>
    <row r="57" spans="1:45" ht="23.25">
      <c r="A57" s="552" t="s">
        <v>145</v>
      </c>
      <c r="B57" s="553"/>
      <c r="C57" s="554"/>
      <c r="D57" s="254">
        <f>AO21+AO24+AO33+AO40+AO45+AO46+AO53</f>
        <v>19601810.549999997</v>
      </c>
      <c r="E57" s="255"/>
      <c r="F57" s="256"/>
      <c r="G57" s="257">
        <f>F56+G56</f>
        <v>492115641.71000016</v>
      </c>
      <c r="H57" s="164">
        <f aca="true" t="shared" si="8" ref="H57:V57">G57+H56</f>
        <v>492115641.71000016</v>
      </c>
      <c r="I57" s="164">
        <f t="shared" si="8"/>
        <v>498658130.33000016</v>
      </c>
      <c r="J57" s="164">
        <f t="shared" si="8"/>
        <v>498657288.9300002</v>
      </c>
      <c r="K57" s="164">
        <f t="shared" si="8"/>
        <v>516622269.5700002</v>
      </c>
      <c r="L57" s="164">
        <f t="shared" si="8"/>
        <v>516865553.9400002</v>
      </c>
      <c r="M57" s="164">
        <f t="shared" si="8"/>
        <v>515906977.1600002</v>
      </c>
      <c r="N57" s="164">
        <f t="shared" si="8"/>
        <v>515906977.1600002</v>
      </c>
      <c r="O57" s="164">
        <f t="shared" si="8"/>
        <v>515906977.1600002</v>
      </c>
      <c r="P57" s="164">
        <f t="shared" si="8"/>
        <v>515906977.1600002</v>
      </c>
      <c r="Q57" s="164">
        <f t="shared" si="8"/>
        <v>516097957.38000023</v>
      </c>
      <c r="R57" s="164">
        <f t="shared" si="8"/>
        <v>515089132.5800002</v>
      </c>
      <c r="S57" s="164">
        <f t="shared" si="8"/>
        <v>514447291.25000024</v>
      </c>
      <c r="T57" s="164">
        <f t="shared" si="8"/>
        <v>509730841.7800002</v>
      </c>
      <c r="U57" s="164">
        <f t="shared" si="8"/>
        <v>509730841.7800002</v>
      </c>
      <c r="V57" s="164">
        <f t="shared" si="8"/>
        <v>509730841.7800002</v>
      </c>
      <c r="W57" s="164">
        <f>V57+W56</f>
        <v>503907320.1500002</v>
      </c>
      <c r="X57" s="164">
        <f>W57+X56</f>
        <v>512985527.31000024</v>
      </c>
      <c r="Y57" s="164">
        <f>X57+Y56</f>
        <v>515875176.2700002</v>
      </c>
      <c r="Z57" s="164">
        <f>Y57+Z56</f>
        <v>515764639.8600002</v>
      </c>
      <c r="AA57" s="164">
        <f aca="true" t="shared" si="9" ref="AA57:AK57">Z57+AA56</f>
        <v>515034983.2700002</v>
      </c>
      <c r="AB57" s="164">
        <f t="shared" si="9"/>
        <v>515034983.2700002</v>
      </c>
      <c r="AC57" s="164">
        <f t="shared" si="9"/>
        <v>515034983.2700002</v>
      </c>
      <c r="AD57" s="164">
        <f t="shared" si="9"/>
        <v>517894786.7300002</v>
      </c>
      <c r="AE57" s="164">
        <f t="shared" si="9"/>
        <v>495237052.1400002</v>
      </c>
      <c r="AF57" s="164">
        <f t="shared" si="9"/>
        <v>498198514.86000025</v>
      </c>
      <c r="AG57" s="164">
        <f t="shared" si="9"/>
        <v>491429073.5800003</v>
      </c>
      <c r="AH57" s="164">
        <f t="shared" si="9"/>
        <v>491429073.5800003</v>
      </c>
      <c r="AI57" s="164">
        <f t="shared" si="9"/>
        <v>491429073.5800003</v>
      </c>
      <c r="AJ57" s="164">
        <f t="shared" si="9"/>
        <v>491429073.5800003</v>
      </c>
      <c r="AK57" s="164">
        <f t="shared" si="9"/>
        <v>495673375.0600003</v>
      </c>
      <c r="AL57" s="214"/>
      <c r="AO57" s="270"/>
      <c r="AQ57" s="261"/>
      <c r="AS57" s="128" t="s">
        <v>131</v>
      </c>
    </row>
    <row r="58" spans="1:45" ht="23.25">
      <c r="A58" s="541" t="s">
        <v>140</v>
      </c>
      <c r="B58" s="542"/>
      <c r="C58" s="543"/>
      <c r="D58" s="72">
        <v>0</v>
      </c>
      <c r="E58" s="198"/>
      <c r="F58" s="74"/>
      <c r="G58" s="238"/>
      <c r="I58" s="164"/>
      <c r="J58" s="164"/>
      <c r="AS58" s="128" t="s">
        <v>132</v>
      </c>
    </row>
    <row r="59" spans="1:7" ht="23.25">
      <c r="A59" s="125"/>
      <c r="C59" s="195" t="s">
        <v>138</v>
      </c>
      <c r="D59" s="197"/>
      <c r="E59" s="231">
        <f>D57+D58</f>
        <v>19601810.549999997</v>
      </c>
      <c r="F59" s="74"/>
      <c r="G59" s="238"/>
    </row>
    <row r="60" spans="3:38" ht="24" thickBot="1">
      <c r="C60" s="194"/>
      <c r="D60" s="196"/>
      <c r="E60" s="125"/>
      <c r="F60" s="74"/>
      <c r="G60" s="239"/>
      <c r="AL60" s="234"/>
    </row>
    <row r="61" spans="1:43" ht="24" thickBot="1">
      <c r="A61" s="538" t="s">
        <v>146</v>
      </c>
      <c r="B61" s="539"/>
      <c r="C61" s="540"/>
      <c r="D61" s="72">
        <f>SUM(E62:E64)</f>
        <v>-14866706.59</v>
      </c>
      <c r="E61" s="125"/>
      <c r="F61" s="74" t="s">
        <v>144</v>
      </c>
      <c r="G61" s="239"/>
      <c r="I61" s="227"/>
      <c r="AK61" s="240"/>
      <c r="AL61" s="236">
        <f>D57+E63</f>
        <v>4735105.959999997</v>
      </c>
      <c r="AM61" s="233"/>
      <c r="AQ61" s="151"/>
    </row>
    <row r="62" spans="1:43" ht="23.25">
      <c r="A62" s="125"/>
      <c r="B62" s="202"/>
      <c r="C62" s="201" t="s">
        <v>141</v>
      </c>
      <c r="D62" s="195"/>
      <c r="E62" s="128">
        <v>0</v>
      </c>
      <c r="F62" s="74"/>
      <c r="G62" s="239"/>
      <c r="AL62" s="235"/>
      <c r="AQ62" s="151">
        <f>AQ61+AN61</f>
        <v>0</v>
      </c>
    </row>
    <row r="63" spans="3:5" ht="23.25">
      <c r="C63" s="200" t="s">
        <v>139</v>
      </c>
      <c r="E63" s="232">
        <f>AO23+AO25+AO35+AO36+AO41+AO44+AO50</f>
        <v>-14866704.59</v>
      </c>
    </row>
    <row r="64" spans="3:5" ht="23.25">
      <c r="C64" s="200" t="s">
        <v>155</v>
      </c>
      <c r="D64" s="203"/>
      <c r="E64" s="260">
        <f>AO13</f>
        <v>-2</v>
      </c>
    </row>
    <row r="65" ht="23.25">
      <c r="D65" s="203"/>
    </row>
    <row r="66" ht="23.25">
      <c r="D66" s="203"/>
    </row>
    <row r="67" ht="23.25">
      <c r="D67" s="203"/>
    </row>
    <row r="68" ht="23.25">
      <c r="D68" s="203"/>
    </row>
    <row r="69" ht="23.25">
      <c r="D69" s="203"/>
    </row>
    <row r="70" ht="23.25">
      <c r="D70" s="203"/>
    </row>
    <row r="71" ht="23.25">
      <c r="D71" s="203"/>
    </row>
    <row r="72" ht="23.25">
      <c r="D72" s="203"/>
    </row>
    <row r="73" ht="23.25">
      <c r="D73" s="203"/>
    </row>
  </sheetData>
  <sheetProtection/>
  <mergeCells count="10">
    <mergeCell ref="G1:AK1"/>
    <mergeCell ref="A57:C57"/>
    <mergeCell ref="A58:C58"/>
    <mergeCell ref="A61:C61"/>
    <mergeCell ref="F1:F2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0.7086614173228347" right="0.1968503937007874" top="0.5118110236220472" bottom="0.4330708661417323" header="0.2755905511811024" footer="0.2755905511811024"/>
  <pageSetup horizontalDpi="600" verticalDpi="600" orientation="landscape" paperSize="9" r:id="rId3"/>
  <headerFooter alignWithMargins="0">
    <oddHeader>&amp;Cหน้าที่ &amp;P จาก &amp;N</oddHeader>
    <oddFooter>&amp;Cแสดงรายการปรับปรุง บช.01&amp;R   วันที่  &amp;D เวลา 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3"/>
  <sheetViews>
    <sheetView zoomScale="160" zoomScaleNormal="160" zoomScalePageLayoutView="0" workbookViewId="0" topLeftCell="AM48">
      <selection activeCell="AQ54" sqref="AQ54"/>
    </sheetView>
  </sheetViews>
  <sheetFormatPr defaultColWidth="9.140625" defaultRowHeight="12.75"/>
  <cols>
    <col min="1" max="1" width="12.57421875" style="124" bestFit="1" customWidth="1"/>
    <col min="2" max="2" width="16.421875" style="125" customWidth="1"/>
    <col min="3" max="3" width="31.7109375" style="125" customWidth="1"/>
    <col min="4" max="4" width="20.140625" style="126" customWidth="1"/>
    <col min="5" max="5" width="15.8515625" style="130" customWidth="1"/>
    <col min="6" max="6" width="18.421875" style="128" customWidth="1"/>
    <col min="7" max="7" width="15.7109375" style="329" customWidth="1"/>
    <col min="8" max="8" width="15.7109375" style="330" customWidth="1"/>
    <col min="9" max="9" width="15.7109375" style="329" customWidth="1"/>
    <col min="10" max="10" width="16.00390625" style="329" customWidth="1"/>
    <col min="11" max="13" width="15.7109375" style="329" customWidth="1"/>
    <col min="14" max="14" width="17.421875" style="329" customWidth="1"/>
    <col min="15" max="37" width="15.7109375" style="329" customWidth="1"/>
    <col min="38" max="38" width="16.28125" style="276" customWidth="1"/>
    <col min="39" max="39" width="4.140625" style="128" customWidth="1"/>
    <col min="40" max="40" width="16.00390625" style="163" customWidth="1"/>
    <col min="41" max="41" width="16.00390625" style="321" customWidth="1"/>
    <col min="42" max="42" width="3.8515625" style="124" bestFit="1" customWidth="1"/>
    <col min="43" max="43" width="19.140625" style="125" bestFit="1" customWidth="1"/>
    <col min="44" max="44" width="26.28125" style="125" customWidth="1"/>
    <col min="45" max="16384" width="9.140625" style="125" customWidth="1"/>
  </cols>
  <sheetData>
    <row r="1" spans="1:41" s="114" customFormat="1" ht="27" customHeight="1">
      <c r="A1" s="544" t="s">
        <v>73</v>
      </c>
      <c r="B1" s="546" t="s">
        <v>3</v>
      </c>
      <c r="C1" s="546" t="s">
        <v>46</v>
      </c>
      <c r="D1" s="548" t="s">
        <v>1</v>
      </c>
      <c r="E1" s="550" t="s">
        <v>45</v>
      </c>
      <c r="F1" s="533" t="s">
        <v>127</v>
      </c>
      <c r="G1" s="555" t="s">
        <v>156</v>
      </c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7"/>
      <c r="AL1" s="271"/>
      <c r="AM1" s="117"/>
      <c r="AN1" s="162"/>
      <c r="AO1" s="319"/>
    </row>
    <row r="2" spans="1:44" s="114" customFormat="1" ht="66.75" customHeight="1">
      <c r="A2" s="545"/>
      <c r="B2" s="547"/>
      <c r="C2" s="547"/>
      <c r="D2" s="549"/>
      <c r="E2" s="551"/>
      <c r="F2" s="534"/>
      <c r="G2" s="326">
        <v>1</v>
      </c>
      <c r="H2" s="326">
        <v>2</v>
      </c>
      <c r="I2" s="326">
        <v>3</v>
      </c>
      <c r="J2" s="326">
        <v>4</v>
      </c>
      <c r="K2" s="326">
        <v>5</v>
      </c>
      <c r="L2" s="326">
        <v>6</v>
      </c>
      <c r="M2" s="326">
        <v>7</v>
      </c>
      <c r="N2" s="326">
        <v>8</v>
      </c>
      <c r="O2" s="326">
        <v>9</v>
      </c>
      <c r="P2" s="326">
        <v>10</v>
      </c>
      <c r="Q2" s="326">
        <v>11</v>
      </c>
      <c r="R2" s="326">
        <v>12</v>
      </c>
      <c r="S2" s="326">
        <v>13</v>
      </c>
      <c r="T2" s="326">
        <v>14</v>
      </c>
      <c r="U2" s="326">
        <v>15</v>
      </c>
      <c r="V2" s="326">
        <v>16</v>
      </c>
      <c r="W2" s="326">
        <v>17</v>
      </c>
      <c r="X2" s="326">
        <v>18</v>
      </c>
      <c r="Y2" s="326">
        <v>19</v>
      </c>
      <c r="Z2" s="326">
        <v>20</v>
      </c>
      <c r="AA2" s="326">
        <v>21</v>
      </c>
      <c r="AB2" s="326">
        <v>22</v>
      </c>
      <c r="AC2" s="326">
        <v>23</v>
      </c>
      <c r="AD2" s="326">
        <v>24</v>
      </c>
      <c r="AE2" s="326">
        <v>25</v>
      </c>
      <c r="AF2" s="326">
        <v>26</v>
      </c>
      <c r="AG2" s="326">
        <v>27</v>
      </c>
      <c r="AH2" s="326">
        <v>28</v>
      </c>
      <c r="AI2" s="326">
        <v>29</v>
      </c>
      <c r="AJ2" s="326">
        <v>30</v>
      </c>
      <c r="AK2" s="326">
        <v>31</v>
      </c>
      <c r="AL2" s="272" t="s">
        <v>133</v>
      </c>
      <c r="AM2" s="117"/>
      <c r="AN2" s="316" t="s">
        <v>134</v>
      </c>
      <c r="AO2" s="320" t="s">
        <v>137</v>
      </c>
      <c r="AP2" s="189"/>
      <c r="AQ2" s="114" t="s">
        <v>135</v>
      </c>
      <c r="AR2" s="189" t="s">
        <v>136</v>
      </c>
    </row>
    <row r="3" spans="1:43" s="114" customFormat="1" ht="23.25">
      <c r="A3" s="114" t="s">
        <v>31</v>
      </c>
      <c r="B3" s="114" t="s">
        <v>41</v>
      </c>
      <c r="D3" s="115" t="s">
        <v>31</v>
      </c>
      <c r="E3" s="116"/>
      <c r="F3" s="117">
        <v>0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271">
        <f>(F3)+SUM(G3:AK3)</f>
        <v>0</v>
      </c>
      <c r="AM3" s="117"/>
      <c r="AN3" s="162">
        <v>6</v>
      </c>
      <c r="AO3" s="221">
        <f>AN3-AL3</f>
        <v>6</v>
      </c>
      <c r="AP3" s="114" t="s">
        <v>157</v>
      </c>
      <c r="AQ3" s="151">
        <f>AL3+AO3</f>
        <v>6</v>
      </c>
    </row>
    <row r="4" spans="1:41" s="118" customFormat="1" ht="23.25">
      <c r="A4" s="118">
        <v>1101010101</v>
      </c>
      <c r="B4" s="119" t="s">
        <v>31</v>
      </c>
      <c r="C4" s="119"/>
      <c r="D4" s="120"/>
      <c r="E4" s="121"/>
      <c r="F4" s="122">
        <v>0</v>
      </c>
      <c r="G4" s="328"/>
      <c r="H4" s="327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271">
        <f aca="true" t="shared" si="0" ref="AL4:AL55">(F4)+SUM(G4:AK4)</f>
        <v>0</v>
      </c>
      <c r="AM4" s="122"/>
      <c r="AN4" s="161"/>
      <c r="AO4" s="319"/>
    </row>
    <row r="5" spans="2:41" s="118" customFormat="1" ht="23.25">
      <c r="B5" s="119" t="s">
        <v>32</v>
      </c>
      <c r="C5" s="119"/>
      <c r="D5" s="120"/>
      <c r="E5" s="121"/>
      <c r="F5" s="122"/>
      <c r="G5" s="328"/>
      <c r="H5" s="327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271">
        <f t="shared" si="0"/>
        <v>0</v>
      </c>
      <c r="AM5" s="122"/>
      <c r="AN5" s="161"/>
      <c r="AO5" s="319"/>
    </row>
    <row r="6" spans="2:41" s="114" customFormat="1" ht="23.25">
      <c r="B6" s="123"/>
      <c r="C6" s="123"/>
      <c r="D6" s="115"/>
      <c r="E6" s="116"/>
      <c r="F6" s="11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271">
        <f t="shared" si="0"/>
        <v>0</v>
      </c>
      <c r="AM6" s="117"/>
      <c r="AN6" s="162"/>
      <c r="AO6" s="319"/>
    </row>
    <row r="7" spans="2:41" s="114" customFormat="1" ht="23.25">
      <c r="B7" s="123" t="s">
        <v>40</v>
      </c>
      <c r="C7" s="123"/>
      <c r="D7" s="115"/>
      <c r="E7" s="116"/>
      <c r="F7" s="11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271">
        <f t="shared" si="0"/>
        <v>0</v>
      </c>
      <c r="AM7" s="117"/>
      <c r="AN7" s="162"/>
      <c r="AO7" s="319"/>
    </row>
    <row r="8" spans="2:41" s="114" customFormat="1" ht="23.25">
      <c r="B8" s="123" t="s">
        <v>33</v>
      </c>
      <c r="C8" s="123"/>
      <c r="D8" s="115"/>
      <c r="E8" s="116"/>
      <c r="F8" s="11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271">
        <f t="shared" si="0"/>
        <v>0</v>
      </c>
      <c r="AM8" s="117"/>
      <c r="AN8" s="162"/>
      <c r="AO8" s="319"/>
    </row>
    <row r="9" spans="2:41" s="114" customFormat="1" ht="23.25">
      <c r="B9" s="123" t="s">
        <v>42</v>
      </c>
      <c r="C9" s="123"/>
      <c r="D9" s="115"/>
      <c r="E9" s="116"/>
      <c r="F9" s="11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271">
        <f t="shared" si="0"/>
        <v>0</v>
      </c>
      <c r="AM9" s="117"/>
      <c r="AN9" s="162"/>
      <c r="AO9" s="319"/>
    </row>
    <row r="10" spans="2:41" s="118" customFormat="1" ht="23.25">
      <c r="B10" s="119"/>
      <c r="C10" s="119"/>
      <c r="D10" s="120"/>
      <c r="E10" s="121"/>
      <c r="F10" s="117"/>
      <c r="G10" s="328"/>
      <c r="H10" s="327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271">
        <f t="shared" si="0"/>
        <v>0</v>
      </c>
      <c r="AM10" s="122"/>
      <c r="AN10" s="161"/>
      <c r="AO10" s="319"/>
    </row>
    <row r="11" spans="2:41" s="118" customFormat="1" ht="23.25">
      <c r="B11" s="119"/>
      <c r="C11" s="119"/>
      <c r="D11" s="120"/>
      <c r="E11" s="121"/>
      <c r="F11" s="122"/>
      <c r="G11" s="328"/>
      <c r="H11" s="327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271">
        <f t="shared" si="0"/>
        <v>0</v>
      </c>
      <c r="AM11" s="122"/>
      <c r="AN11" s="161"/>
      <c r="AO11" s="319"/>
    </row>
    <row r="12" spans="1:41" s="114" customFormat="1" ht="23.25">
      <c r="A12" s="114" t="s">
        <v>72</v>
      </c>
      <c r="B12" s="114" t="s">
        <v>0</v>
      </c>
      <c r="D12" s="115"/>
      <c r="E12" s="116"/>
      <c r="F12" s="11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271">
        <f t="shared" si="0"/>
        <v>0</v>
      </c>
      <c r="AM12" s="117"/>
      <c r="AN12" s="162"/>
      <c r="AO12" s="319"/>
    </row>
    <row r="13" spans="1:38" ht="23.25">
      <c r="A13" s="124">
        <v>1101030101</v>
      </c>
      <c r="B13" s="125" t="s">
        <v>39</v>
      </c>
      <c r="D13" s="126">
        <v>9326000028</v>
      </c>
      <c r="E13" s="127" t="s">
        <v>4</v>
      </c>
      <c r="AL13" s="271">
        <f t="shared" si="0"/>
        <v>0</v>
      </c>
    </row>
    <row r="14" spans="1:38" ht="23.25">
      <c r="A14" s="124">
        <v>1101030101</v>
      </c>
      <c r="B14" s="125" t="s">
        <v>2</v>
      </c>
      <c r="D14" s="126">
        <v>9326001040</v>
      </c>
      <c r="E14" s="127" t="s">
        <v>9</v>
      </c>
      <c r="AL14" s="271">
        <f t="shared" si="0"/>
        <v>0</v>
      </c>
    </row>
    <row r="15" spans="1:38" ht="23.25">
      <c r="A15" s="124">
        <v>1101030101</v>
      </c>
      <c r="B15" s="125" t="s">
        <v>2</v>
      </c>
      <c r="D15" s="126">
        <v>9326005097</v>
      </c>
      <c r="E15" s="127" t="s">
        <v>10</v>
      </c>
      <c r="AL15" s="271">
        <f t="shared" si="0"/>
        <v>0</v>
      </c>
    </row>
    <row r="16" spans="1:38" ht="23.25">
      <c r="A16" s="124">
        <v>1101030101</v>
      </c>
      <c r="B16" s="125" t="s">
        <v>2</v>
      </c>
      <c r="D16" s="126">
        <v>9326012476</v>
      </c>
      <c r="E16" s="127" t="s">
        <v>11</v>
      </c>
      <c r="AL16" s="271">
        <f t="shared" si="0"/>
        <v>0</v>
      </c>
    </row>
    <row r="17" spans="1:38" ht="23.25">
      <c r="A17" s="124">
        <v>1101030101</v>
      </c>
      <c r="B17" s="125" t="s">
        <v>14</v>
      </c>
      <c r="D17" s="129" t="s">
        <v>44</v>
      </c>
      <c r="E17" s="130" t="s">
        <v>49</v>
      </c>
      <c r="AL17" s="271">
        <f t="shared" si="0"/>
        <v>0</v>
      </c>
    </row>
    <row r="18" spans="1:41" ht="23.25">
      <c r="A18" s="124">
        <v>1101030101</v>
      </c>
      <c r="D18" s="126">
        <v>9326016978</v>
      </c>
      <c r="E18" s="127" t="s">
        <v>142</v>
      </c>
      <c r="F18" s="128">
        <v>126300</v>
      </c>
      <c r="AL18" s="271">
        <f t="shared" si="0"/>
        <v>126300</v>
      </c>
      <c r="AN18" s="163">
        <v>126300</v>
      </c>
      <c r="AO18" s="221">
        <f>AN18-AL18</f>
        <v>0</v>
      </c>
    </row>
    <row r="19" spans="5:38" ht="23.25">
      <c r="E19" s="127"/>
      <c r="AL19" s="271">
        <f t="shared" si="0"/>
        <v>0</v>
      </c>
    </row>
    <row r="20" spans="1:42" s="135" customFormat="1" ht="23.25">
      <c r="A20" s="132" t="s">
        <v>12</v>
      </c>
      <c r="B20" s="132" t="s">
        <v>0</v>
      </c>
      <c r="C20" s="132"/>
      <c r="D20" s="133"/>
      <c r="E20" s="134"/>
      <c r="F20" s="131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271">
        <f t="shared" si="0"/>
        <v>0</v>
      </c>
      <c r="AM20" s="131"/>
      <c r="AN20" s="164"/>
      <c r="AO20" s="321"/>
      <c r="AP20" s="132"/>
    </row>
    <row r="21" spans="1:44" ht="23.25">
      <c r="A21" s="124">
        <v>1101030102</v>
      </c>
      <c r="B21" s="125" t="s">
        <v>2</v>
      </c>
      <c r="C21" s="111" t="s">
        <v>86</v>
      </c>
      <c r="D21" s="218">
        <v>9321080872</v>
      </c>
      <c r="E21" s="219" t="s">
        <v>5</v>
      </c>
      <c r="F21" s="131">
        <v>85636943.83</v>
      </c>
      <c r="G21" s="329">
        <f>691901.07+17053-521211.09-34529.25+164507.47+117025</f>
        <v>434746.19999999995</v>
      </c>
      <c r="H21" s="329">
        <f>-660444.22+226840.44+27482</f>
        <v>-406121.77999999997</v>
      </c>
      <c r="I21" s="329">
        <f>60000-822445.55+218799.6+121179</f>
        <v>-422466.95000000007</v>
      </c>
      <c r="J21" s="329">
        <f>19072-1003758.75+186009.76+480</f>
        <v>-798196.99</v>
      </c>
      <c r="M21" s="329">
        <f>13340-1130723.04+340357.76+840-47961.74</f>
        <v>-824147.02</v>
      </c>
      <c r="N21" s="329">
        <f>6753637.9+86615-126818.13+100439+3403.83</f>
        <v>6817277.600000001</v>
      </c>
      <c r="O21" s="329">
        <f>134571+1117489+169396.67+3363679.5+15895-72-542492.1-4617529.44+162072+46434+19565871.65+12948665.69+1200000</f>
        <v>33563980.97</v>
      </c>
      <c r="P21" s="329">
        <f>2250+17105+12139+92190+81828.43-4072498.34-3642566.47+725442+236269.34</f>
        <v>-6547841.04</v>
      </c>
      <c r="Q21" s="329">
        <f>-439282.2-118836.6+881044.72+228770.4</f>
        <v>551696.32</v>
      </c>
      <c r="U21" s="329">
        <f>203013-258789.39+503079+115.2</f>
        <v>447417.81</v>
      </c>
      <c r="V21" s="329">
        <f>-1661463.53-89101.42+171898.36</f>
        <v>-1578666.5899999999</v>
      </c>
      <c r="W21" s="329">
        <f>42498+5058278-481763.46-9827.28+257587+100284</f>
        <v>4967056.26</v>
      </c>
      <c r="X21" s="330">
        <f>2930-830914.21+182791+33059</f>
        <v>-612134.21</v>
      </c>
      <c r="AA21" s="329">
        <f>-597911.18-168380.6+326909</f>
        <v>-439382.78</v>
      </c>
      <c r="AB21" s="329">
        <f>-111583.64+198411.45</f>
        <v>86827.81000000001</v>
      </c>
      <c r="AC21" s="329">
        <f>207359+33980+31294+570.4+142522.76-891049.89-6008736.1</f>
        <v>-6484059.83</v>
      </c>
      <c r="AD21" s="329">
        <f>6762.62+280281+171100+58145+14255-3003961.89-3838558.34-18+98199+38829.76</f>
        <v>-6174965.85</v>
      </c>
      <c r="AE21" s="329">
        <f>17412+27200+10848.43+4200-318778.65-93517.76+181294</f>
        <v>-171341.98000000004</v>
      </c>
      <c r="AH21" s="329">
        <f>239249-14809241.5-20805.58+5490000+270581+82236</f>
        <v>-8747981.08</v>
      </c>
      <c r="AI21" s="329">
        <f>149358.42+61680+21380+6238169-820300.33-137578.04</f>
        <v>5512709.05</v>
      </c>
      <c r="AJ21" s="329">
        <f>2365+175+19421+201163-746745.44-372667+411519+112438-1000000</f>
        <v>-1372331.44</v>
      </c>
      <c r="AK21" s="329">
        <f>143230+12670.2+80712.33+393277-12-1643370.11-6560718.8+168205+27273</f>
        <v>-7378733.38</v>
      </c>
      <c r="AL21" s="271">
        <f t="shared" si="0"/>
        <v>96060284.92999999</v>
      </c>
      <c r="AN21" s="164">
        <v>99658632.97</v>
      </c>
      <c r="AO21" s="221">
        <f>AN21-AL21</f>
        <v>3598348.0400000066</v>
      </c>
      <c r="AP21" s="124" t="s">
        <v>93</v>
      </c>
      <c r="AQ21" s="151">
        <f>AL21+AO21</f>
        <v>99658632.97</v>
      </c>
      <c r="AR21" s="151">
        <f>AN21-AQ21</f>
        <v>0</v>
      </c>
    </row>
    <row r="22" spans="1:44" ht="23.25">
      <c r="A22" s="124">
        <v>1101030102</v>
      </c>
      <c r="B22" s="125" t="s">
        <v>15</v>
      </c>
      <c r="C22" s="111" t="s">
        <v>50</v>
      </c>
      <c r="D22" s="126">
        <v>9091058013</v>
      </c>
      <c r="E22" s="127" t="s">
        <v>6</v>
      </c>
      <c r="F22" s="128">
        <v>1836095.24</v>
      </c>
      <c r="O22" s="329">
        <f>-1200000</f>
        <v>-1200000</v>
      </c>
      <c r="AL22" s="271">
        <f t="shared" si="0"/>
        <v>636095.24</v>
      </c>
      <c r="AN22" s="163">
        <v>636095.24</v>
      </c>
      <c r="AO22" s="221">
        <f aca="true" t="shared" si="1" ref="AO22:AO55">AN22-AL22</f>
        <v>0</v>
      </c>
      <c r="AQ22" s="151">
        <f aca="true" t="shared" si="2" ref="AQ22:AQ55">AL22+AO22</f>
        <v>636095.24</v>
      </c>
      <c r="AR22" s="151">
        <f aca="true" t="shared" si="3" ref="AR22:AR56">AN22-AQ22</f>
        <v>0</v>
      </c>
    </row>
    <row r="23" spans="1:44" ht="23.25">
      <c r="A23" s="124">
        <v>1101030102</v>
      </c>
      <c r="B23" s="125" t="s">
        <v>2</v>
      </c>
      <c r="C23" s="111" t="s">
        <v>51</v>
      </c>
      <c r="D23" s="126">
        <v>9321044531</v>
      </c>
      <c r="E23" s="127" t="s">
        <v>7</v>
      </c>
      <c r="F23" s="128">
        <v>12294.03</v>
      </c>
      <c r="AL23" s="271">
        <f t="shared" si="0"/>
        <v>12294.03</v>
      </c>
      <c r="AN23" s="163">
        <v>12294.03</v>
      </c>
      <c r="AO23" s="221">
        <f t="shared" si="1"/>
        <v>0</v>
      </c>
      <c r="AQ23" s="151">
        <f t="shared" si="2"/>
        <v>12294.03</v>
      </c>
      <c r="AR23" s="151">
        <f t="shared" si="3"/>
        <v>0</v>
      </c>
    </row>
    <row r="24" spans="1:44" ht="23.25">
      <c r="A24" s="124">
        <v>1101030102</v>
      </c>
      <c r="B24" s="125" t="s">
        <v>15</v>
      </c>
      <c r="C24" s="111" t="s">
        <v>52</v>
      </c>
      <c r="D24" s="126">
        <v>9092199648</v>
      </c>
      <c r="E24" s="127" t="s">
        <v>8</v>
      </c>
      <c r="F24" s="128">
        <v>174360.81</v>
      </c>
      <c r="AL24" s="271">
        <f t="shared" si="0"/>
        <v>174360.81</v>
      </c>
      <c r="AN24" s="163">
        <v>174360.81</v>
      </c>
      <c r="AO24" s="221">
        <f t="shared" si="1"/>
        <v>0</v>
      </c>
      <c r="AQ24" s="151">
        <f t="shared" si="2"/>
        <v>174360.81</v>
      </c>
      <c r="AR24" s="151">
        <f t="shared" si="3"/>
        <v>0</v>
      </c>
    </row>
    <row r="25" spans="1:44" ht="23.25">
      <c r="A25" s="124">
        <v>1101030102</v>
      </c>
      <c r="B25" s="125" t="s">
        <v>13</v>
      </c>
      <c r="C25" s="111" t="s">
        <v>143</v>
      </c>
      <c r="D25" s="129" t="s">
        <v>128</v>
      </c>
      <c r="E25" s="127" t="s">
        <v>147</v>
      </c>
      <c r="F25" s="128">
        <v>4917036.88</v>
      </c>
      <c r="I25" s="329">
        <f>-325905.42</f>
        <v>-325905.42</v>
      </c>
      <c r="J25" s="329">
        <f>-56071.03</f>
        <v>-56071.03</v>
      </c>
      <c r="M25" s="329">
        <f>-353111.51</f>
        <v>-353111.51</v>
      </c>
      <c r="N25" s="329">
        <f>-95845.79</f>
        <v>-95845.79</v>
      </c>
      <c r="O25" s="329">
        <f>-274340.88</f>
        <v>-274340.88</v>
      </c>
      <c r="P25" s="329">
        <f>-92129.55</f>
        <v>-92129.55</v>
      </c>
      <c r="Q25" s="329">
        <f>-132519.82+96</f>
        <v>-132423.82</v>
      </c>
      <c r="U25" s="329">
        <f>-370914.8</f>
        <v>-370914.8</v>
      </c>
      <c r="V25" s="329">
        <f>-246869.05</f>
        <v>-246869.05</v>
      </c>
      <c r="W25" s="329">
        <f>-405423.26</f>
        <v>-405423.26</v>
      </c>
      <c r="X25" s="329">
        <f>-180882.96</f>
        <v>-180882.96</v>
      </c>
      <c r="AA25" s="329">
        <f>-205169.44</f>
        <v>-205169.44</v>
      </c>
      <c r="AB25" s="329">
        <f>-26513.87</f>
        <v>-26513.87</v>
      </c>
      <c r="AC25" s="329">
        <f>-118016.63</f>
        <v>-118016.63</v>
      </c>
      <c r="AD25" s="329">
        <f>-54419.21</f>
        <v>-54419.21</v>
      </c>
      <c r="AE25" s="329">
        <f>-12066.17</f>
        <v>-12066.17</v>
      </c>
      <c r="AK25" s="329">
        <f>-127551.68</f>
        <v>-127551.68</v>
      </c>
      <c r="AL25" s="271">
        <f t="shared" si="0"/>
        <v>1839381.8099999996</v>
      </c>
      <c r="AN25" s="163">
        <v>1077478.49</v>
      </c>
      <c r="AO25" s="221">
        <f t="shared" si="1"/>
        <v>-761903.3199999996</v>
      </c>
      <c r="AP25" s="124" t="s">
        <v>92</v>
      </c>
      <c r="AQ25" s="151">
        <f t="shared" si="2"/>
        <v>1077478.49</v>
      </c>
      <c r="AR25" s="151">
        <f t="shared" si="3"/>
        <v>0</v>
      </c>
    </row>
    <row r="26" spans="1:44" ht="23.25">
      <c r="A26" s="124">
        <v>1101030102</v>
      </c>
      <c r="B26" s="125" t="s">
        <v>2</v>
      </c>
      <c r="C26" s="111" t="s">
        <v>53</v>
      </c>
      <c r="D26" s="126">
        <v>9321151400</v>
      </c>
      <c r="E26" s="127" t="s">
        <v>17</v>
      </c>
      <c r="F26" s="128">
        <v>15793.57</v>
      </c>
      <c r="AL26" s="271">
        <f t="shared" si="0"/>
        <v>15793.57</v>
      </c>
      <c r="AN26" s="163">
        <v>15793.57</v>
      </c>
      <c r="AO26" s="221">
        <f t="shared" si="1"/>
        <v>0</v>
      </c>
      <c r="AQ26" s="151">
        <f t="shared" si="2"/>
        <v>15793.57</v>
      </c>
      <c r="AR26" s="151">
        <f t="shared" si="3"/>
        <v>0</v>
      </c>
    </row>
    <row r="27" spans="1:44" ht="23.25">
      <c r="A27" s="124">
        <v>1101030102</v>
      </c>
      <c r="B27" s="125" t="s">
        <v>2</v>
      </c>
      <c r="C27" s="111" t="s">
        <v>54</v>
      </c>
      <c r="D27" s="126">
        <v>9321484736</v>
      </c>
      <c r="E27" s="127" t="s">
        <v>19</v>
      </c>
      <c r="AL27" s="271">
        <f t="shared" si="0"/>
        <v>0</v>
      </c>
      <c r="AO27" s="221">
        <f t="shared" si="1"/>
        <v>0</v>
      </c>
      <c r="AQ27" s="151">
        <f t="shared" si="2"/>
        <v>0</v>
      </c>
      <c r="AR27" s="151">
        <f t="shared" si="3"/>
        <v>0</v>
      </c>
    </row>
    <row r="28" spans="1:44" ht="23.25">
      <c r="A28" s="124">
        <v>1101030102</v>
      </c>
      <c r="B28" s="125" t="s">
        <v>2</v>
      </c>
      <c r="C28" s="111" t="s">
        <v>55</v>
      </c>
      <c r="D28" s="126">
        <v>9321441107</v>
      </c>
      <c r="E28" s="127" t="s">
        <v>20</v>
      </c>
      <c r="F28" s="128">
        <v>41917.54</v>
      </c>
      <c r="AL28" s="271">
        <f t="shared" si="0"/>
        <v>41917.54</v>
      </c>
      <c r="AN28" s="163">
        <v>41917.54</v>
      </c>
      <c r="AO28" s="221">
        <f t="shared" si="1"/>
        <v>0</v>
      </c>
      <c r="AQ28" s="151">
        <f t="shared" si="2"/>
        <v>41917.54</v>
      </c>
      <c r="AR28" s="151">
        <f t="shared" si="3"/>
        <v>0</v>
      </c>
    </row>
    <row r="29" spans="1:44" ht="23.25">
      <c r="A29" s="124">
        <v>1101030102</v>
      </c>
      <c r="B29" s="125" t="s">
        <v>2</v>
      </c>
      <c r="C29" s="111" t="s">
        <v>77</v>
      </c>
      <c r="D29" s="126">
        <v>9321441638</v>
      </c>
      <c r="E29" s="127" t="s">
        <v>21</v>
      </c>
      <c r="F29" s="128">
        <v>3913.86</v>
      </c>
      <c r="AL29" s="271">
        <f t="shared" si="0"/>
        <v>3913.86</v>
      </c>
      <c r="AN29" s="163">
        <v>3913.86</v>
      </c>
      <c r="AO29" s="221">
        <f t="shared" si="1"/>
        <v>0</v>
      </c>
      <c r="AQ29" s="151">
        <f t="shared" si="2"/>
        <v>3913.86</v>
      </c>
      <c r="AR29" s="151">
        <f t="shared" si="3"/>
        <v>0</v>
      </c>
    </row>
    <row r="30" spans="1:44" ht="23.25">
      <c r="A30" s="124">
        <v>1101030102</v>
      </c>
      <c r="B30" s="125" t="s">
        <v>2</v>
      </c>
      <c r="C30" s="111" t="s">
        <v>56</v>
      </c>
      <c r="D30" s="126">
        <v>9321474838</v>
      </c>
      <c r="E30" s="127" t="s">
        <v>22</v>
      </c>
      <c r="F30" s="128">
        <v>4387.09</v>
      </c>
      <c r="AL30" s="271">
        <f t="shared" si="0"/>
        <v>4387.09</v>
      </c>
      <c r="AN30" s="163">
        <v>4387.09</v>
      </c>
      <c r="AO30" s="221">
        <f t="shared" si="1"/>
        <v>0</v>
      </c>
      <c r="AQ30" s="151">
        <f t="shared" si="2"/>
        <v>4387.09</v>
      </c>
      <c r="AR30" s="151">
        <f t="shared" si="3"/>
        <v>0</v>
      </c>
    </row>
    <row r="31" spans="1:44" ht="23.25">
      <c r="A31" s="124">
        <v>1101030102</v>
      </c>
      <c r="B31" s="125" t="s">
        <v>2</v>
      </c>
      <c r="C31" s="111" t="s">
        <v>57</v>
      </c>
      <c r="D31" s="126">
        <v>9320023573</v>
      </c>
      <c r="E31" s="127" t="s">
        <v>23</v>
      </c>
      <c r="F31" s="128">
        <v>101071.68</v>
      </c>
      <c r="AL31" s="271">
        <f t="shared" si="0"/>
        <v>101071.68</v>
      </c>
      <c r="AN31" s="163">
        <v>101071.68</v>
      </c>
      <c r="AO31" s="221">
        <f t="shared" si="1"/>
        <v>0</v>
      </c>
      <c r="AQ31" s="151">
        <f t="shared" si="2"/>
        <v>101071.68</v>
      </c>
      <c r="AR31" s="151">
        <f t="shared" si="3"/>
        <v>0</v>
      </c>
    </row>
    <row r="32" spans="1:44" s="137" customFormat="1" ht="23.25">
      <c r="A32" s="136">
        <v>1101030102</v>
      </c>
      <c r="B32" s="137" t="s">
        <v>2</v>
      </c>
      <c r="C32" s="112" t="s">
        <v>58</v>
      </c>
      <c r="D32" s="138">
        <v>9321188886</v>
      </c>
      <c r="E32" s="139" t="s">
        <v>24</v>
      </c>
      <c r="F32" s="140"/>
      <c r="G32" s="331"/>
      <c r="H32" s="332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271">
        <f t="shared" si="0"/>
        <v>0</v>
      </c>
      <c r="AM32" s="140"/>
      <c r="AN32" s="165"/>
      <c r="AO32" s="221">
        <f t="shared" si="1"/>
        <v>0</v>
      </c>
      <c r="AP32" s="136"/>
      <c r="AQ32" s="151">
        <f t="shared" si="2"/>
        <v>0</v>
      </c>
      <c r="AR32" s="151">
        <f t="shared" si="3"/>
        <v>0</v>
      </c>
    </row>
    <row r="33" spans="1:44" ht="23.25">
      <c r="A33" s="124">
        <v>1101030102</v>
      </c>
      <c r="B33" s="125" t="s">
        <v>2</v>
      </c>
      <c r="C33" s="111" t="s">
        <v>48</v>
      </c>
      <c r="D33" s="126">
        <v>9321108904</v>
      </c>
      <c r="E33" s="127" t="s">
        <v>25</v>
      </c>
      <c r="F33" s="128">
        <v>8059263.12</v>
      </c>
      <c r="M33" s="329">
        <f>-1073.08</f>
        <v>-1073.08</v>
      </c>
      <c r="AD33" s="329">
        <f>2334448.75+780126.67-6</f>
        <v>3114569.42</v>
      </c>
      <c r="AH33" s="329">
        <f>-43697.76</f>
        <v>-43697.76</v>
      </c>
      <c r="AJ33" s="329">
        <f>-8019</f>
        <v>-8019</v>
      </c>
      <c r="AL33" s="271">
        <f t="shared" si="0"/>
        <v>11121042.7</v>
      </c>
      <c r="AN33" s="163">
        <v>11121042.7</v>
      </c>
      <c r="AO33" s="221">
        <f t="shared" si="1"/>
        <v>0</v>
      </c>
      <c r="AQ33" s="151">
        <f t="shared" si="2"/>
        <v>11121042.7</v>
      </c>
      <c r="AR33" s="151">
        <f t="shared" si="3"/>
        <v>0</v>
      </c>
    </row>
    <row r="34" spans="1:44" s="137" customFormat="1" ht="23.25">
      <c r="A34" s="136">
        <v>1101030102</v>
      </c>
      <c r="B34" s="137" t="s">
        <v>14</v>
      </c>
      <c r="C34" s="112" t="s">
        <v>59</v>
      </c>
      <c r="D34" s="141" t="s">
        <v>16</v>
      </c>
      <c r="E34" s="139" t="s">
        <v>26</v>
      </c>
      <c r="F34" s="140"/>
      <c r="G34" s="331"/>
      <c r="H34" s="332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271">
        <f t="shared" si="0"/>
        <v>0</v>
      </c>
      <c r="AM34" s="140"/>
      <c r="AN34" s="165"/>
      <c r="AO34" s="221">
        <f t="shared" si="1"/>
        <v>0</v>
      </c>
      <c r="AP34" s="136"/>
      <c r="AQ34" s="151">
        <f t="shared" si="2"/>
        <v>0</v>
      </c>
      <c r="AR34" s="151">
        <f t="shared" si="3"/>
        <v>0</v>
      </c>
    </row>
    <row r="35" spans="1:44" ht="23.25">
      <c r="A35" s="124">
        <v>1101030102</v>
      </c>
      <c r="B35" s="125" t="s">
        <v>14</v>
      </c>
      <c r="C35" s="111" t="s">
        <v>76</v>
      </c>
      <c r="D35" s="313" t="s">
        <v>60</v>
      </c>
      <c r="E35" s="312" t="s">
        <v>27</v>
      </c>
      <c r="F35" s="128">
        <v>159681566.46</v>
      </c>
      <c r="H35" s="329">
        <f>245200+113400</f>
        <v>358600</v>
      </c>
      <c r="M35" s="329">
        <f>-7066.82</f>
        <v>-7066.82</v>
      </c>
      <c r="N35" s="329">
        <f>5640</f>
        <v>5640</v>
      </c>
      <c r="O35" s="329">
        <f>-19565871.65-12948665.69</f>
        <v>-32514537.339999996</v>
      </c>
      <c r="Q35" s="329">
        <v>12590</v>
      </c>
      <c r="U35" s="329">
        <f>-762704.67</f>
        <v>-762704.67</v>
      </c>
      <c r="V35" s="329">
        <f>46508.76</f>
        <v>46508.76</v>
      </c>
      <c r="AA35" s="329">
        <f>-51030</f>
        <v>-51030</v>
      </c>
      <c r="AB35" s="329">
        <f>144000+2100+137460</f>
        <v>283560</v>
      </c>
      <c r="AC35" s="329">
        <f>24236.9+39350</f>
        <v>63586.9</v>
      </c>
      <c r="AD35" s="329">
        <f>411100</f>
        <v>411100</v>
      </c>
      <c r="AH35" s="329">
        <f>50050-366433.08-5490000</f>
        <v>-5806383.08</v>
      </c>
      <c r="AK35" s="329">
        <f>194009.75+7643614.53+7427126.73+2069519.4</f>
        <v>17334270.41</v>
      </c>
      <c r="AL35" s="311">
        <f t="shared" si="0"/>
        <v>139055700.62</v>
      </c>
      <c r="AN35" s="163">
        <v>140220977.62</v>
      </c>
      <c r="AO35" s="322">
        <f t="shared" si="1"/>
        <v>1165277</v>
      </c>
      <c r="AP35" s="124" t="s">
        <v>93</v>
      </c>
      <c r="AQ35" s="151">
        <f t="shared" si="2"/>
        <v>140220977.62</v>
      </c>
      <c r="AR35" s="151">
        <f t="shared" si="3"/>
        <v>0</v>
      </c>
    </row>
    <row r="36" spans="1:44" ht="23.25">
      <c r="A36" s="124">
        <v>1101030102</v>
      </c>
      <c r="B36" s="125" t="s">
        <v>2</v>
      </c>
      <c r="C36" s="111" t="s">
        <v>61</v>
      </c>
      <c r="D36" s="218">
        <v>9320115583</v>
      </c>
      <c r="E36" s="219" t="s">
        <v>28</v>
      </c>
      <c r="F36" s="128">
        <v>17825883.61</v>
      </c>
      <c r="H36" s="330">
        <f>-61382.44</f>
        <v>-61382.44</v>
      </c>
      <c r="J36" s="329">
        <f>-174535.37+772000</f>
        <v>597464.63</v>
      </c>
      <c r="M36" s="329">
        <f>-2860</f>
        <v>-2860</v>
      </c>
      <c r="O36" s="329">
        <f>-18748</f>
        <v>-18748</v>
      </c>
      <c r="V36" s="329">
        <f>-5200</f>
        <v>-5200</v>
      </c>
      <c r="AA36" s="329">
        <f>-4380</f>
        <v>-4380</v>
      </c>
      <c r="AC36" s="329">
        <f>-89300.45</f>
        <v>-89300.45</v>
      </c>
      <c r="AE36" s="329">
        <f>-5600</f>
        <v>-5600</v>
      </c>
      <c r="AH36" s="329">
        <f>-10700</f>
        <v>-10700</v>
      </c>
      <c r="AJ36" s="329">
        <f>-9500+1000</f>
        <v>-8500</v>
      </c>
      <c r="AK36" s="329">
        <f>-206836.54</f>
        <v>-206836.54</v>
      </c>
      <c r="AL36" s="271">
        <f t="shared" si="0"/>
        <v>18009840.81</v>
      </c>
      <c r="AN36" s="163">
        <v>16843495.01</v>
      </c>
      <c r="AO36" s="221">
        <f t="shared" si="1"/>
        <v>-1166345.799999997</v>
      </c>
      <c r="AP36" s="124" t="s">
        <v>92</v>
      </c>
      <c r="AQ36" s="151">
        <f t="shared" si="2"/>
        <v>16843495.01</v>
      </c>
      <c r="AR36" s="151">
        <f t="shared" si="3"/>
        <v>0</v>
      </c>
    </row>
    <row r="37" spans="1:44" ht="23.25">
      <c r="A37" s="124">
        <v>1101030102</v>
      </c>
      <c r="B37" s="125" t="s">
        <v>2</v>
      </c>
      <c r="C37" s="111" t="s">
        <v>62</v>
      </c>
      <c r="D37" s="126">
        <v>9320261059</v>
      </c>
      <c r="E37" s="127" t="s">
        <v>29</v>
      </c>
      <c r="F37" s="128">
        <v>46194770.5</v>
      </c>
      <c r="AH37" s="329">
        <f>-2465423.34</f>
        <v>-2465423.34</v>
      </c>
      <c r="AL37" s="271">
        <f t="shared" si="0"/>
        <v>43729347.16</v>
      </c>
      <c r="AN37" s="163">
        <v>43729347.16</v>
      </c>
      <c r="AO37" s="221">
        <f t="shared" si="1"/>
        <v>0</v>
      </c>
      <c r="AQ37" s="151">
        <f t="shared" si="2"/>
        <v>43729347.16</v>
      </c>
      <c r="AR37" s="151">
        <f t="shared" si="3"/>
        <v>0</v>
      </c>
    </row>
    <row r="38" spans="1:44" ht="23.25">
      <c r="A38" s="124">
        <v>1101030102</v>
      </c>
      <c r="B38" s="125" t="s">
        <v>2</v>
      </c>
      <c r="C38" s="111" t="s">
        <v>63</v>
      </c>
      <c r="D38" s="126">
        <v>9320293791</v>
      </c>
      <c r="E38" s="127" t="s">
        <v>30</v>
      </c>
      <c r="F38" s="128">
        <v>13878433.23</v>
      </c>
      <c r="J38" s="329">
        <f>-20790.23</f>
        <v>-20790.23</v>
      </c>
      <c r="AC38" s="329">
        <f>-115000</f>
        <v>-115000</v>
      </c>
      <c r="AL38" s="271">
        <f t="shared" si="0"/>
        <v>13742643</v>
      </c>
      <c r="AN38" s="163">
        <v>13627643</v>
      </c>
      <c r="AO38" s="221">
        <f t="shared" si="1"/>
        <v>-115000</v>
      </c>
      <c r="AP38" s="124" t="s">
        <v>92</v>
      </c>
      <c r="AQ38" s="151">
        <f t="shared" si="2"/>
        <v>13627643</v>
      </c>
      <c r="AR38" s="151">
        <f t="shared" si="3"/>
        <v>0</v>
      </c>
    </row>
    <row r="39" spans="1:44" ht="23.25">
      <c r="A39" s="124">
        <v>1101030102</v>
      </c>
      <c r="B39" s="125" t="s">
        <v>2</v>
      </c>
      <c r="C39" s="111" t="s">
        <v>64</v>
      </c>
      <c r="D39" s="126">
        <v>9320293783</v>
      </c>
      <c r="E39" s="127" t="s">
        <v>34</v>
      </c>
      <c r="F39" s="128">
        <v>10814819.98</v>
      </c>
      <c r="AH39" s="329">
        <f>-65000</f>
        <v>-65000</v>
      </c>
      <c r="AL39" s="271">
        <f t="shared" si="0"/>
        <v>10749819.98</v>
      </c>
      <c r="AN39" s="163">
        <v>10749819.98</v>
      </c>
      <c r="AO39" s="221">
        <f t="shared" si="1"/>
        <v>0</v>
      </c>
      <c r="AQ39" s="151">
        <f t="shared" si="2"/>
        <v>10749819.98</v>
      </c>
      <c r="AR39" s="151">
        <f t="shared" si="3"/>
        <v>0</v>
      </c>
    </row>
    <row r="40" spans="1:44" ht="23.25">
      <c r="A40" s="124">
        <v>1101030102</v>
      </c>
      <c r="B40" s="125" t="s">
        <v>2</v>
      </c>
      <c r="C40" s="111" t="s">
        <v>47</v>
      </c>
      <c r="D40" s="126">
        <v>9320344507</v>
      </c>
      <c r="E40" s="127" t="s">
        <v>35</v>
      </c>
      <c r="F40" s="128">
        <v>6888737.97</v>
      </c>
      <c r="G40" s="329">
        <f>11200</f>
        <v>11200</v>
      </c>
      <c r="I40" s="329">
        <f>5165</f>
        <v>5165</v>
      </c>
      <c r="M40" s="329">
        <f>12800</f>
        <v>12800</v>
      </c>
      <c r="N40" s="329">
        <f>4800+2085</f>
        <v>6885</v>
      </c>
      <c r="O40" s="329">
        <f>365</f>
        <v>365</v>
      </c>
      <c r="Q40" s="329">
        <v>3200</v>
      </c>
      <c r="U40" s="329">
        <f>1600</f>
        <v>1600</v>
      </c>
      <c r="X40" s="329">
        <v>1600</v>
      </c>
      <c r="AB40" s="329">
        <f>-41334</f>
        <v>-41334</v>
      </c>
      <c r="AC40" s="329">
        <v>500</v>
      </c>
      <c r="AD40" s="329">
        <f>6400</f>
        <v>6400</v>
      </c>
      <c r="AE40" s="329">
        <f>9465</f>
        <v>9465</v>
      </c>
      <c r="AI40" s="329">
        <f>3200</f>
        <v>3200</v>
      </c>
      <c r="AJ40" s="329">
        <f>365</f>
        <v>365</v>
      </c>
      <c r="AK40" s="329">
        <f>-25319+8225</f>
        <v>-17094</v>
      </c>
      <c r="AL40" s="271">
        <f t="shared" si="0"/>
        <v>6893054.97</v>
      </c>
      <c r="AN40" s="163">
        <v>7079064.73</v>
      </c>
      <c r="AO40" s="221">
        <f t="shared" si="1"/>
        <v>186009.7600000007</v>
      </c>
      <c r="AP40" s="124" t="s">
        <v>93</v>
      </c>
      <c r="AQ40" s="151">
        <f t="shared" si="2"/>
        <v>7079064.73</v>
      </c>
      <c r="AR40" s="151">
        <f t="shared" si="3"/>
        <v>0</v>
      </c>
    </row>
    <row r="41" spans="1:44" ht="23.25">
      <c r="A41" s="124">
        <v>1101030102</v>
      </c>
      <c r="B41" s="125" t="s">
        <v>2</v>
      </c>
      <c r="C41" s="111" t="s">
        <v>65</v>
      </c>
      <c r="D41" s="126">
        <v>9320429634</v>
      </c>
      <c r="E41" s="127" t="s">
        <v>36</v>
      </c>
      <c r="F41" s="128">
        <v>571143.55</v>
      </c>
      <c r="AL41" s="271">
        <f t="shared" si="0"/>
        <v>571143.55</v>
      </c>
      <c r="AN41" s="163">
        <v>571143.55</v>
      </c>
      <c r="AO41" s="221">
        <f t="shared" si="1"/>
        <v>0</v>
      </c>
      <c r="AQ41" s="151">
        <f t="shared" si="2"/>
        <v>571143.55</v>
      </c>
      <c r="AR41" s="151">
        <f t="shared" si="3"/>
        <v>0</v>
      </c>
    </row>
    <row r="42" spans="1:44" ht="23.25">
      <c r="A42" s="124">
        <v>1101030102</v>
      </c>
      <c r="B42" s="125" t="s">
        <v>2</v>
      </c>
      <c r="C42" s="111" t="s">
        <v>66</v>
      </c>
      <c r="D42" s="129" t="s">
        <v>38</v>
      </c>
      <c r="E42" s="130" t="s">
        <v>37</v>
      </c>
      <c r="AL42" s="271">
        <f t="shared" si="0"/>
        <v>0</v>
      </c>
      <c r="AO42" s="221">
        <f t="shared" si="1"/>
        <v>0</v>
      </c>
      <c r="AQ42" s="151">
        <f t="shared" si="2"/>
        <v>0</v>
      </c>
      <c r="AR42" s="151">
        <f t="shared" si="3"/>
        <v>0</v>
      </c>
    </row>
    <row r="43" spans="1:44" ht="23.25">
      <c r="A43" s="124">
        <v>1101030102</v>
      </c>
      <c r="B43" s="125" t="s">
        <v>2</v>
      </c>
      <c r="C43" s="111" t="s">
        <v>67</v>
      </c>
      <c r="D43" s="126">
        <v>9320515662</v>
      </c>
      <c r="E43" s="130" t="s">
        <v>81</v>
      </c>
      <c r="F43" s="128">
        <v>1541014.96</v>
      </c>
      <c r="N43" s="329">
        <f>6185.34</f>
        <v>6185.34</v>
      </c>
      <c r="O43" s="329">
        <f>-7727.1</f>
        <v>-7727.1</v>
      </c>
      <c r="AA43" s="329">
        <f>88520.88+2300</f>
        <v>90820.88</v>
      </c>
      <c r="AB43" s="329">
        <f>-1520</f>
        <v>-1520</v>
      </c>
      <c r="AL43" s="271">
        <f t="shared" si="0"/>
        <v>1628774.08</v>
      </c>
      <c r="AN43" s="163">
        <v>1626474.08</v>
      </c>
      <c r="AO43" s="221">
        <f t="shared" si="1"/>
        <v>-2300</v>
      </c>
      <c r="AP43" s="124" t="s">
        <v>92</v>
      </c>
      <c r="AQ43" s="151">
        <f t="shared" si="2"/>
        <v>1626474.08</v>
      </c>
      <c r="AR43" s="151">
        <f t="shared" si="3"/>
        <v>0</v>
      </c>
    </row>
    <row r="44" spans="1:44" ht="23.25">
      <c r="A44" s="124">
        <v>1101030102</v>
      </c>
      <c r="B44" s="125" t="s">
        <v>14</v>
      </c>
      <c r="C44" s="111" t="s">
        <v>69</v>
      </c>
      <c r="D44" s="129" t="s">
        <v>43</v>
      </c>
      <c r="E44" s="130" t="s">
        <v>82</v>
      </c>
      <c r="F44" s="128">
        <v>26271.17</v>
      </c>
      <c r="P44" s="329">
        <f>38800</f>
        <v>38800</v>
      </c>
      <c r="AC44" s="329">
        <f>-38800</f>
        <v>-38800</v>
      </c>
      <c r="AE44" s="329">
        <f>40400</f>
        <v>40400</v>
      </c>
      <c r="AJ44" s="329">
        <f>-40400</f>
        <v>-40400</v>
      </c>
      <c r="AL44" s="271">
        <f t="shared" si="0"/>
        <v>26271.17</v>
      </c>
      <c r="AN44" s="163">
        <v>26271.17</v>
      </c>
      <c r="AO44" s="221">
        <f t="shared" si="1"/>
        <v>0</v>
      </c>
      <c r="AQ44" s="151">
        <f t="shared" si="2"/>
        <v>26271.17</v>
      </c>
      <c r="AR44" s="151">
        <f t="shared" si="3"/>
        <v>0</v>
      </c>
    </row>
    <row r="45" spans="1:44" ht="23.25">
      <c r="A45" s="124">
        <v>1101030102</v>
      </c>
      <c r="B45" s="125" t="s">
        <v>2</v>
      </c>
      <c r="C45" s="111" t="s">
        <v>70</v>
      </c>
      <c r="D45" s="126">
        <v>9320614350</v>
      </c>
      <c r="E45" s="130" t="s">
        <v>83</v>
      </c>
      <c r="F45" s="128">
        <v>369788.02</v>
      </c>
      <c r="AC45" s="329">
        <f>9350</f>
        <v>9350</v>
      </c>
      <c r="AL45" s="271">
        <f t="shared" si="0"/>
        <v>379138.02</v>
      </c>
      <c r="AN45" s="163">
        <v>379138.02</v>
      </c>
      <c r="AO45" s="221">
        <f t="shared" si="1"/>
        <v>0</v>
      </c>
      <c r="AQ45" s="151">
        <f t="shared" si="2"/>
        <v>379138.02</v>
      </c>
      <c r="AR45" s="151">
        <f t="shared" si="3"/>
        <v>0</v>
      </c>
    </row>
    <row r="46" spans="1:44" ht="23.25">
      <c r="A46" s="124">
        <v>1101030102</v>
      </c>
      <c r="B46" s="125" t="s">
        <v>13</v>
      </c>
      <c r="C46" s="111" t="s">
        <v>68</v>
      </c>
      <c r="D46" s="126">
        <v>5081084530</v>
      </c>
      <c r="E46" s="127" t="s">
        <v>84</v>
      </c>
      <c r="F46" s="128">
        <v>123420.31</v>
      </c>
      <c r="AL46" s="271">
        <f t="shared" si="0"/>
        <v>123420.31</v>
      </c>
      <c r="AN46" s="163">
        <v>123420.31</v>
      </c>
      <c r="AO46" s="221">
        <f t="shared" si="1"/>
        <v>0</v>
      </c>
      <c r="AQ46" s="151">
        <f t="shared" si="2"/>
        <v>123420.31</v>
      </c>
      <c r="AR46" s="151">
        <f t="shared" si="3"/>
        <v>0</v>
      </c>
    </row>
    <row r="47" spans="1:44" ht="23.25">
      <c r="A47" s="124">
        <v>1101030102</v>
      </c>
      <c r="B47" s="125" t="s">
        <v>89</v>
      </c>
      <c r="C47" s="111" t="s">
        <v>87</v>
      </c>
      <c r="D47" s="129" t="s">
        <v>88</v>
      </c>
      <c r="E47" s="145" t="s">
        <v>90</v>
      </c>
      <c r="F47" s="128">
        <v>25122713.67</v>
      </c>
      <c r="J47" s="329">
        <f>-74299.07</f>
        <v>-74299.07</v>
      </c>
      <c r="M47" s="329">
        <f>-445794.39</f>
        <v>-445794.39</v>
      </c>
      <c r="X47" s="329">
        <f>-49532.71</f>
        <v>-49532.71</v>
      </c>
      <c r="AC47" s="329">
        <f>-44579.44</f>
        <v>-44579.44</v>
      </c>
      <c r="AH47" s="329">
        <f>-418551.4</f>
        <v>-418551.4</v>
      </c>
      <c r="AL47" s="271">
        <f t="shared" si="0"/>
        <v>24089956.66</v>
      </c>
      <c r="AN47" s="163">
        <v>24089956.66</v>
      </c>
      <c r="AO47" s="221">
        <f t="shared" si="1"/>
        <v>0</v>
      </c>
      <c r="AQ47" s="151">
        <f t="shared" si="2"/>
        <v>24089956.66</v>
      </c>
      <c r="AR47" s="151">
        <f t="shared" si="3"/>
        <v>0</v>
      </c>
    </row>
    <row r="48" spans="1:44" ht="23.25">
      <c r="A48" s="124">
        <v>1101030102</v>
      </c>
      <c r="C48" s="111" t="s">
        <v>99</v>
      </c>
      <c r="D48" s="126" t="s">
        <v>100</v>
      </c>
      <c r="E48" s="146" t="s">
        <v>103</v>
      </c>
      <c r="F48" s="128">
        <v>84703.91</v>
      </c>
      <c r="AL48" s="271">
        <f t="shared" si="0"/>
        <v>84703.91</v>
      </c>
      <c r="AN48" s="163">
        <v>84703.91</v>
      </c>
      <c r="AO48" s="221">
        <f t="shared" si="1"/>
        <v>0</v>
      </c>
      <c r="AQ48" s="151">
        <f t="shared" si="2"/>
        <v>84703.91</v>
      </c>
      <c r="AR48" s="151">
        <f t="shared" si="3"/>
        <v>0</v>
      </c>
    </row>
    <row r="49" spans="1:44" ht="23.25">
      <c r="A49" s="124">
        <v>1101030102</v>
      </c>
      <c r="C49" s="111" t="s">
        <v>107</v>
      </c>
      <c r="D49" s="148" t="s">
        <v>108</v>
      </c>
      <c r="E49" s="149" t="s">
        <v>111</v>
      </c>
      <c r="F49" s="128">
        <v>6353834.91</v>
      </c>
      <c r="AL49" s="271">
        <f t="shared" si="0"/>
        <v>6353834.91</v>
      </c>
      <c r="AN49" s="163">
        <v>6353834.91</v>
      </c>
      <c r="AO49" s="221">
        <f t="shared" si="1"/>
        <v>0</v>
      </c>
      <c r="AQ49" s="151">
        <f t="shared" si="2"/>
        <v>6353834.91</v>
      </c>
      <c r="AR49" s="151">
        <f t="shared" si="3"/>
        <v>0</v>
      </c>
    </row>
    <row r="50" spans="1:44" ht="23.25">
      <c r="A50" s="124">
        <v>1101030102</v>
      </c>
      <c r="B50" s="135" t="s">
        <v>0</v>
      </c>
      <c r="C50" s="111" t="s">
        <v>120</v>
      </c>
      <c r="D50" s="314">
        <v>9320830827</v>
      </c>
      <c r="E50" s="315" t="s">
        <v>121</v>
      </c>
      <c r="F50" s="128">
        <v>19015244.89</v>
      </c>
      <c r="AB50" s="329">
        <f>5000</f>
        <v>5000</v>
      </c>
      <c r="AK50" s="329">
        <f>22158</f>
        <v>22158</v>
      </c>
      <c r="AL50" s="271">
        <f t="shared" si="0"/>
        <v>19042402.89</v>
      </c>
      <c r="AN50" s="163">
        <v>19042402.89</v>
      </c>
      <c r="AO50" s="221">
        <f t="shared" si="1"/>
        <v>0</v>
      </c>
      <c r="AQ50" s="151">
        <f t="shared" si="2"/>
        <v>19042402.89</v>
      </c>
      <c r="AR50" s="151">
        <f t="shared" si="3"/>
        <v>0</v>
      </c>
    </row>
    <row r="51" spans="1:44" ht="23.25">
      <c r="A51" s="124">
        <v>1101030102</v>
      </c>
      <c r="B51" s="135"/>
      <c r="C51" s="111" t="s">
        <v>122</v>
      </c>
      <c r="D51" s="148">
        <v>9320821550</v>
      </c>
      <c r="E51" s="149" t="s">
        <v>123</v>
      </c>
      <c r="F51" s="128">
        <v>48870499.95</v>
      </c>
      <c r="M51" s="329">
        <f>-49234.25</f>
        <v>-49234.25</v>
      </c>
      <c r="AL51" s="271">
        <f t="shared" si="0"/>
        <v>48821265.7</v>
      </c>
      <c r="AN51" s="163">
        <v>48821265.7</v>
      </c>
      <c r="AO51" s="221">
        <f t="shared" si="1"/>
        <v>0</v>
      </c>
      <c r="AQ51" s="151">
        <f t="shared" si="2"/>
        <v>48821265.7</v>
      </c>
      <c r="AR51" s="151">
        <f t="shared" si="3"/>
        <v>0</v>
      </c>
    </row>
    <row r="52" spans="1:44" ht="23.25">
      <c r="A52" s="124">
        <v>1101030102</v>
      </c>
      <c r="B52" s="135"/>
      <c r="C52" s="111" t="s">
        <v>125</v>
      </c>
      <c r="D52" s="148">
        <v>9320917914</v>
      </c>
      <c r="E52" s="149" t="s">
        <v>126</v>
      </c>
      <c r="F52" s="128">
        <v>7183.11</v>
      </c>
      <c r="AL52" s="271">
        <f t="shared" si="0"/>
        <v>7183.11</v>
      </c>
      <c r="AN52" s="163">
        <v>7183.11</v>
      </c>
      <c r="AO52" s="221">
        <f t="shared" si="1"/>
        <v>0</v>
      </c>
      <c r="AQ52" s="151">
        <f t="shared" si="2"/>
        <v>7183.11</v>
      </c>
      <c r="AR52" s="151">
        <f t="shared" si="3"/>
        <v>0</v>
      </c>
    </row>
    <row r="53" spans="1:44" ht="23.25">
      <c r="A53" s="124">
        <v>1101030102</v>
      </c>
      <c r="B53" s="132" t="s">
        <v>153</v>
      </c>
      <c r="C53" s="111" t="s">
        <v>152</v>
      </c>
      <c r="D53" s="148">
        <v>65110073186</v>
      </c>
      <c r="E53" s="149" t="s">
        <v>154</v>
      </c>
      <c r="F53" s="128">
        <v>1690022.12</v>
      </c>
      <c r="AL53" s="271">
        <f t="shared" si="0"/>
        <v>1690022.12</v>
      </c>
      <c r="AN53" s="163">
        <v>1732063.21</v>
      </c>
      <c r="AO53" s="221">
        <f t="shared" si="1"/>
        <v>42041.08999999985</v>
      </c>
      <c r="AP53" s="124" t="s">
        <v>93</v>
      </c>
      <c r="AQ53" s="151">
        <f t="shared" si="2"/>
        <v>1732063.21</v>
      </c>
      <c r="AR53" s="151">
        <f t="shared" si="3"/>
        <v>0</v>
      </c>
    </row>
    <row r="54" spans="1:44" ht="23.25">
      <c r="A54" s="132" t="s">
        <v>113</v>
      </c>
      <c r="B54" s="125" t="s">
        <v>114</v>
      </c>
      <c r="C54" s="111" t="s">
        <v>115</v>
      </c>
      <c r="D54" s="148">
        <v>65210028561</v>
      </c>
      <c r="E54" s="149" t="s">
        <v>116</v>
      </c>
      <c r="F54" s="128">
        <v>30000000</v>
      </c>
      <c r="AL54" s="271">
        <f t="shared" si="0"/>
        <v>30000000</v>
      </c>
      <c r="AN54" s="163">
        <v>30000000</v>
      </c>
      <c r="AO54" s="221">
        <f t="shared" si="1"/>
        <v>0</v>
      </c>
      <c r="AQ54" s="151">
        <f t="shared" si="2"/>
        <v>30000000</v>
      </c>
      <c r="AR54" s="151">
        <f t="shared" si="3"/>
        <v>0</v>
      </c>
    </row>
    <row r="55" spans="1:44" ht="23.25">
      <c r="A55" s="132" t="s">
        <v>113</v>
      </c>
      <c r="B55" s="125" t="s">
        <v>118</v>
      </c>
      <c r="C55" s="111" t="s">
        <v>62</v>
      </c>
      <c r="D55" s="148">
        <v>300020091397</v>
      </c>
      <c r="E55" s="149" t="s">
        <v>117</v>
      </c>
      <c r="F55" s="147">
        <v>10419049.05</v>
      </c>
      <c r="AL55" s="273">
        <f t="shared" si="0"/>
        <v>10419049.05</v>
      </c>
      <c r="AM55" s="147"/>
      <c r="AN55" s="317">
        <v>10419049.05</v>
      </c>
      <c r="AO55" s="323">
        <f t="shared" si="1"/>
        <v>0</v>
      </c>
      <c r="AP55" s="190"/>
      <c r="AQ55" s="151">
        <f t="shared" si="2"/>
        <v>10419049.05</v>
      </c>
      <c r="AR55" s="151">
        <f t="shared" si="3"/>
        <v>0</v>
      </c>
    </row>
    <row r="56" spans="1:44" ht="24" thickBot="1">
      <c r="A56" s="190"/>
      <c r="B56" s="292"/>
      <c r="C56" s="262"/>
      <c r="D56" s="293"/>
      <c r="E56" s="294"/>
      <c r="F56" s="157">
        <f>SUM(F18:F55)</f>
        <v>500408479.02000016</v>
      </c>
      <c r="G56" s="330">
        <f aca="true" t="shared" si="4" ref="G56:AL56">SUM(G3:G55)</f>
        <v>445946.19999999995</v>
      </c>
      <c r="H56" s="330">
        <f t="shared" si="4"/>
        <v>-108904.21999999997</v>
      </c>
      <c r="I56" s="330">
        <f t="shared" si="4"/>
        <v>-743207.3700000001</v>
      </c>
      <c r="J56" s="330">
        <f t="shared" si="4"/>
        <v>-351892.69</v>
      </c>
      <c r="K56" s="330">
        <f t="shared" si="4"/>
        <v>0</v>
      </c>
      <c r="L56" s="330">
        <f t="shared" si="4"/>
        <v>0</v>
      </c>
      <c r="M56" s="330">
        <f t="shared" si="4"/>
        <v>-1670487.0700000003</v>
      </c>
      <c r="N56" s="330">
        <f t="shared" si="4"/>
        <v>6740142.15</v>
      </c>
      <c r="O56" s="330">
        <f t="shared" si="4"/>
        <v>-451007.34999999625</v>
      </c>
      <c r="P56" s="330">
        <f t="shared" si="4"/>
        <v>-6601170.59</v>
      </c>
      <c r="Q56" s="330">
        <f t="shared" si="4"/>
        <v>435062.49999999994</v>
      </c>
      <c r="R56" s="330">
        <f t="shared" si="4"/>
        <v>0</v>
      </c>
      <c r="S56" s="330">
        <f t="shared" si="4"/>
        <v>0</v>
      </c>
      <c r="T56" s="330">
        <f t="shared" si="4"/>
        <v>0</v>
      </c>
      <c r="U56" s="330">
        <f t="shared" si="4"/>
        <v>-684601.66</v>
      </c>
      <c r="V56" s="330">
        <f t="shared" si="4"/>
        <v>-1784226.88</v>
      </c>
      <c r="W56" s="330">
        <f t="shared" si="4"/>
        <v>4561633</v>
      </c>
      <c r="X56" s="330">
        <f t="shared" si="4"/>
        <v>-840949.8799999999</v>
      </c>
      <c r="Y56" s="330">
        <f t="shared" si="4"/>
        <v>0</v>
      </c>
      <c r="Z56" s="330">
        <f t="shared" si="4"/>
        <v>0</v>
      </c>
      <c r="AA56" s="330">
        <f t="shared" si="4"/>
        <v>-609141.34</v>
      </c>
      <c r="AB56" s="330">
        <f t="shared" si="4"/>
        <v>306019.94</v>
      </c>
      <c r="AC56" s="330">
        <f t="shared" si="4"/>
        <v>-6816319.45</v>
      </c>
      <c r="AD56" s="330">
        <f t="shared" si="4"/>
        <v>-2697315.6399999997</v>
      </c>
      <c r="AE56" s="330">
        <f t="shared" si="4"/>
        <v>-139143.15000000005</v>
      </c>
      <c r="AF56" s="330">
        <f t="shared" si="4"/>
        <v>0</v>
      </c>
      <c r="AG56" s="330">
        <f t="shared" si="4"/>
        <v>0</v>
      </c>
      <c r="AH56" s="330">
        <f t="shared" si="4"/>
        <v>-17557736.659999996</v>
      </c>
      <c r="AI56" s="330">
        <f t="shared" si="4"/>
        <v>5515909.05</v>
      </c>
      <c r="AJ56" s="330">
        <f t="shared" si="4"/>
        <v>-1428885.44</v>
      </c>
      <c r="AK56" s="330">
        <f t="shared" si="4"/>
        <v>9626212.810000002</v>
      </c>
      <c r="AL56" s="274">
        <f t="shared" si="4"/>
        <v>485554415.28000015</v>
      </c>
      <c r="AM56" s="192"/>
      <c r="AN56" s="318">
        <f>SUM(AN3:AN55)</f>
        <v>488500548.0500001</v>
      </c>
      <c r="AO56" s="324">
        <f>SUM(AO3:AO55)</f>
        <v>2946132.7700000107</v>
      </c>
      <c r="AP56" s="193"/>
      <c r="AQ56" s="186">
        <f>AL56+AO56</f>
        <v>488500548.0500002</v>
      </c>
      <c r="AR56" s="151">
        <f t="shared" si="3"/>
        <v>0</v>
      </c>
    </row>
    <row r="57" spans="1:45" ht="23.25">
      <c r="A57" s="511" t="s">
        <v>145</v>
      </c>
      <c r="B57" s="512"/>
      <c r="C57" s="513"/>
      <c r="D57" s="298">
        <f>AO21+AO35+AO40+AO53</f>
        <v>4991675.890000007</v>
      </c>
      <c r="E57" s="299"/>
      <c r="F57" s="290"/>
      <c r="G57" s="333">
        <f>F56+G56</f>
        <v>500854425.22000015</v>
      </c>
      <c r="H57" s="330">
        <f aca="true" t="shared" si="5" ref="H57:V57">G57+H56</f>
        <v>500745521.0000001</v>
      </c>
      <c r="I57" s="330">
        <f t="shared" si="5"/>
        <v>500002313.6300001</v>
      </c>
      <c r="J57" s="330">
        <f t="shared" si="5"/>
        <v>499650420.9400001</v>
      </c>
      <c r="K57" s="330">
        <f t="shared" si="5"/>
        <v>499650420.9400001</v>
      </c>
      <c r="L57" s="330">
        <f t="shared" si="5"/>
        <v>499650420.9400001</v>
      </c>
      <c r="M57" s="337">
        <f t="shared" si="5"/>
        <v>497979933.8700001</v>
      </c>
      <c r="N57" s="330">
        <f t="shared" si="5"/>
        <v>504720076.0200001</v>
      </c>
      <c r="O57" s="330">
        <f t="shared" si="5"/>
        <v>504269068.6700001</v>
      </c>
      <c r="P57" s="330">
        <f t="shared" si="5"/>
        <v>497667898.0800001</v>
      </c>
      <c r="Q57" s="330">
        <f t="shared" si="5"/>
        <v>498102960.5800001</v>
      </c>
      <c r="R57" s="330">
        <f t="shared" si="5"/>
        <v>498102960.5800001</v>
      </c>
      <c r="S57" s="330">
        <f t="shared" si="5"/>
        <v>498102960.5800001</v>
      </c>
      <c r="T57" s="330">
        <f t="shared" si="5"/>
        <v>498102960.5800001</v>
      </c>
      <c r="U57" s="330">
        <f t="shared" si="5"/>
        <v>497418358.9200001</v>
      </c>
      <c r="V57" s="330">
        <f t="shared" si="5"/>
        <v>495634132.0400001</v>
      </c>
      <c r="W57" s="330">
        <f>V57+W56</f>
        <v>500195765.0400001</v>
      </c>
      <c r="X57" s="330">
        <f>W57+X56</f>
        <v>499354815.1600001</v>
      </c>
      <c r="Y57" s="330">
        <f>X57+Y56</f>
        <v>499354815.1600001</v>
      </c>
      <c r="Z57" s="330">
        <f>Y57+Z56</f>
        <v>499354815.1600001</v>
      </c>
      <c r="AA57" s="330">
        <f aca="true" t="shared" si="6" ref="AA57:AK57">Z57+AA56</f>
        <v>498745673.8200001</v>
      </c>
      <c r="AB57" s="330">
        <f t="shared" si="6"/>
        <v>499051693.7600001</v>
      </c>
      <c r="AC57" s="330">
        <f t="shared" si="6"/>
        <v>492235374.3100001</v>
      </c>
      <c r="AD57" s="330">
        <f t="shared" si="6"/>
        <v>489538058.67000014</v>
      </c>
      <c r="AE57" s="330">
        <f t="shared" si="6"/>
        <v>489398915.52000016</v>
      </c>
      <c r="AF57" s="330">
        <f t="shared" si="6"/>
        <v>489398915.52000016</v>
      </c>
      <c r="AG57" s="330">
        <f t="shared" si="6"/>
        <v>489398915.52000016</v>
      </c>
      <c r="AH57" s="330">
        <f t="shared" si="6"/>
        <v>471841178.86000013</v>
      </c>
      <c r="AI57" s="330">
        <f t="shared" si="6"/>
        <v>477357087.91000015</v>
      </c>
      <c r="AJ57" s="330">
        <f t="shared" si="6"/>
        <v>475928202.47000015</v>
      </c>
      <c r="AK57" s="330">
        <f t="shared" si="6"/>
        <v>485554415.28000015</v>
      </c>
      <c r="AL57" s="275"/>
      <c r="AN57" s="339" t="s">
        <v>158</v>
      </c>
      <c r="AO57" s="338">
        <f>AL56-AN56</f>
        <v>-2946132.7699999213</v>
      </c>
      <c r="AS57" s="128" t="s">
        <v>131</v>
      </c>
    </row>
    <row r="58" spans="1:45" ht="23.25">
      <c r="A58" s="514" t="s">
        <v>140</v>
      </c>
      <c r="B58" s="515"/>
      <c r="C58" s="516"/>
      <c r="D58" s="281">
        <f>AO3</f>
        <v>6</v>
      </c>
      <c r="E58" s="300"/>
      <c r="F58" s="290"/>
      <c r="G58" s="334"/>
      <c r="I58" s="330"/>
      <c r="J58" s="330"/>
      <c r="AO58" s="221">
        <f>AO56+AO57</f>
        <v>8.940696716308594E-08</v>
      </c>
      <c r="AS58" s="128" t="s">
        <v>132</v>
      </c>
    </row>
    <row r="59" spans="1:7" ht="23.25">
      <c r="A59" s="301"/>
      <c r="B59" s="282"/>
      <c r="C59" s="280" t="s">
        <v>138</v>
      </c>
      <c r="D59" s="283"/>
      <c r="E59" s="302">
        <f>SUM(D57:D58)</f>
        <v>4991681.890000007</v>
      </c>
      <c r="F59" s="290"/>
      <c r="G59" s="334"/>
    </row>
    <row r="60" spans="1:38" ht="24" thickBot="1">
      <c r="A60" s="303"/>
      <c r="B60" s="282"/>
      <c r="C60" s="284"/>
      <c r="D60" s="285"/>
      <c r="E60" s="304"/>
      <c r="F60" s="290"/>
      <c r="G60" s="335"/>
      <c r="AL60" s="277"/>
    </row>
    <row r="61" spans="1:43" ht="24" thickBot="1">
      <c r="A61" s="517" t="s">
        <v>146</v>
      </c>
      <c r="B61" s="518"/>
      <c r="C61" s="519"/>
      <c r="D61" s="281">
        <f>E63</f>
        <v>-2045549.1199999966</v>
      </c>
      <c r="E61" s="304"/>
      <c r="F61" s="290" t="s">
        <v>144</v>
      </c>
      <c r="G61" s="335"/>
      <c r="AK61" s="336"/>
      <c r="AL61" s="278"/>
      <c r="AM61" s="233"/>
      <c r="AN61" s="163">
        <f>E63+E59</f>
        <v>2946132.7700000107</v>
      </c>
      <c r="AQ61" s="151"/>
    </row>
    <row r="62" spans="1:43" ht="23.25">
      <c r="A62" s="301"/>
      <c r="B62" s="286"/>
      <c r="C62" s="287" t="s">
        <v>141</v>
      </c>
      <c r="D62" s="280"/>
      <c r="E62" s="305">
        <v>0</v>
      </c>
      <c r="F62" s="290"/>
      <c r="G62" s="335"/>
      <c r="AL62" s="279"/>
      <c r="AQ62" s="151">
        <f>AQ61+AN61</f>
        <v>2946132.7700000107</v>
      </c>
    </row>
    <row r="63" spans="1:6" ht="23.25">
      <c r="A63" s="303"/>
      <c r="B63" s="282"/>
      <c r="C63" s="288" t="s">
        <v>139</v>
      </c>
      <c r="D63" s="289"/>
      <c r="E63" s="306">
        <f>AO25+AO36+AO38+AO43</f>
        <v>-2045549.1199999966</v>
      </c>
      <c r="F63" s="291"/>
    </row>
    <row r="64" spans="1:6" ht="24" thickBot="1">
      <c r="A64" s="307"/>
      <c r="B64" s="308"/>
      <c r="C64" s="308"/>
      <c r="D64" s="309"/>
      <c r="E64" s="310"/>
      <c r="F64" s="291"/>
    </row>
    <row r="65" spans="1:5" ht="23.25">
      <c r="A65" s="295"/>
      <c r="B65" s="261"/>
      <c r="C65" s="261"/>
      <c r="D65" s="296"/>
      <c r="E65" s="297"/>
    </row>
    <row r="66" ht="23.25">
      <c r="D66" s="203"/>
    </row>
    <row r="67" ht="23.25">
      <c r="D67" s="203"/>
    </row>
    <row r="68" ht="23.25">
      <c r="D68" s="203"/>
    </row>
    <row r="69" ht="23.25">
      <c r="D69" s="203"/>
    </row>
    <row r="70" ht="23.25">
      <c r="D70" s="203"/>
    </row>
    <row r="71" ht="23.25">
      <c r="D71" s="203"/>
    </row>
    <row r="72" ht="23.25">
      <c r="D72" s="203"/>
    </row>
    <row r="73" ht="23.25">
      <c r="D73" s="203"/>
    </row>
  </sheetData>
  <sheetProtection/>
  <mergeCells count="10">
    <mergeCell ref="F1:F2"/>
    <mergeCell ref="G1:AK1"/>
    <mergeCell ref="A57:C57"/>
    <mergeCell ref="A58:C58"/>
    <mergeCell ref="A61:C61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0.5905511811023623" right="0.1968503937007874" top="0.5118110236220472" bottom="0.3937007874015748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73"/>
  <sheetViews>
    <sheetView zoomScale="140" zoomScaleNormal="140" zoomScalePageLayoutView="0" workbookViewId="0" topLeftCell="A47">
      <selection activeCell="A47" sqref="A1:IV16384"/>
    </sheetView>
  </sheetViews>
  <sheetFormatPr defaultColWidth="9.140625" defaultRowHeight="12.75"/>
  <cols>
    <col min="1" max="1" width="12.57421875" style="124" bestFit="1" customWidth="1"/>
    <col min="2" max="2" width="16.421875" style="125" hidden="1" customWidth="1"/>
    <col min="3" max="3" width="33.7109375" style="125" customWidth="1"/>
    <col min="4" max="4" width="16.28125" style="126" bestFit="1" customWidth="1"/>
    <col min="5" max="5" width="15.8515625" style="130" customWidth="1"/>
    <col min="6" max="6" width="18.421875" style="128" hidden="1" customWidth="1"/>
    <col min="7" max="7" width="15.7109375" style="329" hidden="1" customWidth="1"/>
    <col min="8" max="8" width="15.7109375" style="330" hidden="1" customWidth="1"/>
    <col min="9" max="9" width="15.7109375" style="329" hidden="1" customWidth="1"/>
    <col min="10" max="10" width="16.00390625" style="329" hidden="1" customWidth="1"/>
    <col min="11" max="13" width="15.7109375" style="329" hidden="1" customWidth="1"/>
    <col min="14" max="14" width="17.421875" style="329" hidden="1" customWidth="1"/>
    <col min="15" max="24" width="15.7109375" style="329" hidden="1" customWidth="1"/>
    <col min="25" max="25" width="15.7109375" style="343" hidden="1" customWidth="1"/>
    <col min="26" max="37" width="15.7109375" style="329" hidden="1" customWidth="1"/>
    <col min="38" max="38" width="16.28125" style="276" customWidth="1"/>
    <col min="39" max="39" width="4.140625" style="128" customWidth="1"/>
    <col min="40" max="40" width="16.00390625" style="163" customWidth="1"/>
    <col min="41" max="41" width="16.00390625" style="321" customWidth="1"/>
    <col min="42" max="42" width="3.8515625" style="124" bestFit="1" customWidth="1"/>
    <col min="43" max="43" width="19.140625" style="125" hidden="1" customWidth="1"/>
    <col min="44" max="44" width="26.28125" style="125" customWidth="1"/>
    <col min="45" max="16384" width="9.140625" style="125" customWidth="1"/>
  </cols>
  <sheetData>
    <row r="1" spans="1:41" s="114" customFormat="1" ht="27" customHeight="1">
      <c r="A1" s="544" t="s">
        <v>73</v>
      </c>
      <c r="B1" s="546" t="s">
        <v>3</v>
      </c>
      <c r="C1" s="546" t="s">
        <v>46</v>
      </c>
      <c r="D1" s="548" t="s">
        <v>1</v>
      </c>
      <c r="E1" s="550" t="s">
        <v>45</v>
      </c>
      <c r="F1" s="533" t="s">
        <v>127</v>
      </c>
      <c r="G1" s="555" t="s">
        <v>159</v>
      </c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7"/>
      <c r="AL1" s="271"/>
      <c r="AM1" s="117"/>
      <c r="AN1" s="162"/>
      <c r="AO1" s="319"/>
    </row>
    <row r="2" spans="1:44" s="114" customFormat="1" ht="66.75" customHeight="1">
      <c r="A2" s="545"/>
      <c r="B2" s="547"/>
      <c r="C2" s="547"/>
      <c r="D2" s="549"/>
      <c r="E2" s="551"/>
      <c r="F2" s="534"/>
      <c r="G2" s="326">
        <v>1</v>
      </c>
      <c r="H2" s="326">
        <v>2</v>
      </c>
      <c r="I2" s="326">
        <v>3</v>
      </c>
      <c r="J2" s="326">
        <v>4</v>
      </c>
      <c r="K2" s="326">
        <v>5</v>
      </c>
      <c r="L2" s="326">
        <v>6</v>
      </c>
      <c r="M2" s="326">
        <v>7</v>
      </c>
      <c r="N2" s="326">
        <v>8</v>
      </c>
      <c r="O2" s="326">
        <v>9</v>
      </c>
      <c r="P2" s="326">
        <v>10</v>
      </c>
      <c r="Q2" s="326">
        <v>11</v>
      </c>
      <c r="R2" s="326">
        <v>12</v>
      </c>
      <c r="S2" s="326">
        <v>13</v>
      </c>
      <c r="T2" s="326">
        <v>14</v>
      </c>
      <c r="U2" s="326">
        <v>15</v>
      </c>
      <c r="V2" s="326">
        <v>16</v>
      </c>
      <c r="W2" s="326">
        <v>17</v>
      </c>
      <c r="X2" s="326">
        <v>18</v>
      </c>
      <c r="Y2" s="340">
        <v>19</v>
      </c>
      <c r="Z2" s="326">
        <v>20</v>
      </c>
      <c r="AA2" s="326">
        <v>21</v>
      </c>
      <c r="AB2" s="326">
        <v>22</v>
      </c>
      <c r="AC2" s="326">
        <v>23</v>
      </c>
      <c r="AD2" s="326">
        <v>24</v>
      </c>
      <c r="AE2" s="326">
        <v>25</v>
      </c>
      <c r="AF2" s="326">
        <v>26</v>
      </c>
      <c r="AG2" s="326">
        <v>27</v>
      </c>
      <c r="AH2" s="326">
        <v>28</v>
      </c>
      <c r="AI2" s="326">
        <v>29</v>
      </c>
      <c r="AJ2" s="326">
        <v>30</v>
      </c>
      <c r="AK2" s="326">
        <v>31</v>
      </c>
      <c r="AL2" s="272" t="s">
        <v>133</v>
      </c>
      <c r="AM2" s="117"/>
      <c r="AN2" s="316" t="s">
        <v>134</v>
      </c>
      <c r="AO2" s="320" t="s">
        <v>137</v>
      </c>
      <c r="AP2" s="189"/>
      <c r="AQ2" s="114" t="s">
        <v>135</v>
      </c>
      <c r="AR2" s="189" t="s">
        <v>136</v>
      </c>
    </row>
    <row r="3" spans="1:41" s="114" customFormat="1" ht="23.25">
      <c r="A3" s="114" t="s">
        <v>31</v>
      </c>
      <c r="B3" s="114" t="s">
        <v>41</v>
      </c>
      <c r="D3" s="115" t="s">
        <v>31</v>
      </c>
      <c r="E3" s="116"/>
      <c r="F3" s="151">
        <v>6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41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271">
        <v>0</v>
      </c>
      <c r="AM3" s="117"/>
      <c r="AN3" s="162"/>
      <c r="AO3" s="319"/>
    </row>
    <row r="4" spans="1:41" s="118" customFormat="1" ht="23.25">
      <c r="A4" s="118">
        <v>1101010101</v>
      </c>
      <c r="B4" s="119" t="s">
        <v>31</v>
      </c>
      <c r="C4" s="119"/>
      <c r="D4" s="120"/>
      <c r="E4" s="121"/>
      <c r="G4" s="328"/>
      <c r="H4" s="327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42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271">
        <f aca="true" t="shared" si="0" ref="AL4:AL34">(F4)+SUM(G4:AK4)</f>
        <v>0</v>
      </c>
      <c r="AM4" s="122"/>
      <c r="AN4" s="161"/>
      <c r="AO4" s="319"/>
    </row>
    <row r="5" spans="2:41" s="118" customFormat="1" ht="23.25" hidden="1">
      <c r="B5" s="119" t="s">
        <v>32</v>
      </c>
      <c r="C5" s="119"/>
      <c r="D5" s="120"/>
      <c r="E5" s="121"/>
      <c r="G5" s="328"/>
      <c r="H5" s="327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42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271">
        <f t="shared" si="0"/>
        <v>0</v>
      </c>
      <c r="AM5" s="122"/>
      <c r="AN5" s="161"/>
      <c r="AO5" s="319"/>
    </row>
    <row r="6" spans="2:41" s="114" customFormat="1" ht="23.25" hidden="1">
      <c r="B6" s="123"/>
      <c r="C6" s="123"/>
      <c r="D6" s="115"/>
      <c r="E6" s="116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41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271">
        <f t="shared" si="0"/>
        <v>0</v>
      </c>
      <c r="AM6" s="117"/>
      <c r="AN6" s="162"/>
      <c r="AO6" s="319"/>
    </row>
    <row r="7" spans="2:41" s="114" customFormat="1" ht="23.25" hidden="1">
      <c r="B7" s="123" t="s">
        <v>40</v>
      </c>
      <c r="C7" s="123"/>
      <c r="D7" s="115"/>
      <c r="E7" s="116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41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271">
        <f t="shared" si="0"/>
        <v>0</v>
      </c>
      <c r="AM7" s="117"/>
      <c r="AN7" s="162"/>
      <c r="AO7" s="319"/>
    </row>
    <row r="8" spans="2:41" s="114" customFormat="1" ht="23.25" hidden="1">
      <c r="B8" s="123" t="s">
        <v>33</v>
      </c>
      <c r="C8" s="123"/>
      <c r="D8" s="115"/>
      <c r="E8" s="116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41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271">
        <f t="shared" si="0"/>
        <v>0</v>
      </c>
      <c r="AM8" s="117"/>
      <c r="AN8" s="162"/>
      <c r="AO8" s="319"/>
    </row>
    <row r="9" spans="2:41" s="114" customFormat="1" ht="23.25" hidden="1">
      <c r="B9" s="123" t="s">
        <v>42</v>
      </c>
      <c r="C9" s="123"/>
      <c r="D9" s="115"/>
      <c r="E9" s="116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41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271">
        <f t="shared" si="0"/>
        <v>0</v>
      </c>
      <c r="AM9" s="117"/>
      <c r="AN9" s="162"/>
      <c r="AO9" s="319"/>
    </row>
    <row r="10" spans="2:41" s="118" customFormat="1" ht="23.25" hidden="1">
      <c r="B10" s="119"/>
      <c r="C10" s="119"/>
      <c r="D10" s="120"/>
      <c r="E10" s="121"/>
      <c r="G10" s="328"/>
      <c r="H10" s="327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42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271">
        <f t="shared" si="0"/>
        <v>0</v>
      </c>
      <c r="AM10" s="122"/>
      <c r="AN10" s="161"/>
      <c r="AO10" s="319"/>
    </row>
    <row r="11" spans="2:41" s="118" customFormat="1" ht="23.25" hidden="1">
      <c r="B11" s="119"/>
      <c r="C11" s="119"/>
      <c r="D11" s="120"/>
      <c r="E11" s="121"/>
      <c r="G11" s="328"/>
      <c r="H11" s="327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42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271">
        <f t="shared" si="0"/>
        <v>0</v>
      </c>
      <c r="AM11" s="122"/>
      <c r="AN11" s="161"/>
      <c r="AO11" s="319"/>
    </row>
    <row r="12" spans="1:41" s="114" customFormat="1" ht="23.25">
      <c r="A12" s="114" t="s">
        <v>72</v>
      </c>
      <c r="B12" s="114" t="s">
        <v>0</v>
      </c>
      <c r="D12" s="115"/>
      <c r="E12" s="116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41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271">
        <f t="shared" si="0"/>
        <v>0</v>
      </c>
      <c r="AM12" s="117"/>
      <c r="AN12" s="162"/>
      <c r="AO12" s="319"/>
    </row>
    <row r="13" spans="1:38" ht="23.25">
      <c r="A13" s="124">
        <v>1101030101</v>
      </c>
      <c r="B13" s="125" t="s">
        <v>39</v>
      </c>
      <c r="D13" s="126">
        <v>9326000028</v>
      </c>
      <c r="E13" s="127" t="s">
        <v>4</v>
      </c>
      <c r="F13" s="125"/>
      <c r="AL13" s="271">
        <f t="shared" si="0"/>
        <v>0</v>
      </c>
    </row>
    <row r="14" spans="1:38" ht="23.25">
      <c r="A14" s="124">
        <v>1101030101</v>
      </c>
      <c r="B14" s="125" t="s">
        <v>2</v>
      </c>
      <c r="D14" s="126">
        <v>9326001040</v>
      </c>
      <c r="E14" s="127" t="s">
        <v>9</v>
      </c>
      <c r="F14" s="125"/>
      <c r="AL14" s="271">
        <f t="shared" si="0"/>
        <v>0</v>
      </c>
    </row>
    <row r="15" spans="1:38" ht="23.25">
      <c r="A15" s="124">
        <v>1101030101</v>
      </c>
      <c r="B15" s="125" t="s">
        <v>2</v>
      </c>
      <c r="D15" s="126">
        <v>9326005097</v>
      </c>
      <c r="E15" s="127" t="s">
        <v>10</v>
      </c>
      <c r="F15" s="125"/>
      <c r="AL15" s="271">
        <f t="shared" si="0"/>
        <v>0</v>
      </c>
    </row>
    <row r="16" spans="1:38" ht="23.25">
      <c r="A16" s="124">
        <v>1101030101</v>
      </c>
      <c r="B16" s="125" t="s">
        <v>2</v>
      </c>
      <c r="D16" s="126">
        <v>9326012476</v>
      </c>
      <c r="E16" s="127" t="s">
        <v>11</v>
      </c>
      <c r="F16" s="125"/>
      <c r="AL16" s="271">
        <f t="shared" si="0"/>
        <v>0</v>
      </c>
    </row>
    <row r="17" spans="1:38" ht="23.25">
      <c r="A17" s="124">
        <v>1101030101</v>
      </c>
      <c r="B17" s="125" t="s">
        <v>14</v>
      </c>
      <c r="D17" s="129" t="s">
        <v>44</v>
      </c>
      <c r="E17" s="130" t="s">
        <v>49</v>
      </c>
      <c r="F17" s="125"/>
      <c r="AL17" s="271">
        <f t="shared" si="0"/>
        <v>0</v>
      </c>
    </row>
    <row r="18" spans="1:41" ht="23.25">
      <c r="A18" s="124">
        <v>1101030101</v>
      </c>
      <c r="D18" s="126">
        <v>9326016978</v>
      </c>
      <c r="E18" s="127" t="s">
        <v>142</v>
      </c>
      <c r="F18" s="128">
        <v>126300</v>
      </c>
      <c r="AB18" s="329">
        <f>100</f>
        <v>100</v>
      </c>
      <c r="AE18" s="329">
        <f>900</f>
        <v>900</v>
      </c>
      <c r="AF18" s="329">
        <v>400</v>
      </c>
      <c r="AG18" s="329">
        <f>800</f>
        <v>800</v>
      </c>
      <c r="AH18" s="329">
        <f>900-2200</f>
        <v>-1300</v>
      </c>
      <c r="AI18" s="329">
        <f>800-1700</f>
        <v>-900</v>
      </c>
      <c r="AL18" s="271">
        <f t="shared" si="0"/>
        <v>126300</v>
      </c>
      <c r="AN18" s="163">
        <v>126300</v>
      </c>
      <c r="AO18" s="221">
        <f>AN18-AL18</f>
        <v>0</v>
      </c>
    </row>
    <row r="19" spans="5:38" ht="23.25">
      <c r="E19" s="127"/>
      <c r="F19" s="125"/>
      <c r="AL19" s="271">
        <f t="shared" si="0"/>
        <v>0</v>
      </c>
    </row>
    <row r="20" spans="1:42" s="135" customFormat="1" ht="23.25">
      <c r="A20" s="132" t="s">
        <v>12</v>
      </c>
      <c r="B20" s="132" t="s">
        <v>0</v>
      </c>
      <c r="C20" s="132"/>
      <c r="D20" s="133"/>
      <c r="E20" s="134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7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271">
        <f t="shared" si="0"/>
        <v>0</v>
      </c>
      <c r="AM20" s="131"/>
      <c r="AN20" s="164"/>
      <c r="AO20" s="321"/>
      <c r="AP20" s="132"/>
    </row>
    <row r="21" spans="1:44" ht="23.25">
      <c r="A21" s="124">
        <v>1101030102</v>
      </c>
      <c r="B21" s="125" t="s">
        <v>2</v>
      </c>
      <c r="C21" s="111" t="s">
        <v>86</v>
      </c>
      <c r="D21" s="218">
        <v>9321080872</v>
      </c>
      <c r="E21" s="219" t="s">
        <v>5</v>
      </c>
      <c r="F21" s="151">
        <v>99658632.97</v>
      </c>
      <c r="H21" s="329"/>
      <c r="J21" s="329">
        <f>170868-15850.47+308921+29963</f>
        <v>493901.53</v>
      </c>
      <c r="K21" s="329">
        <f>8836822.39-161482.22+224828+5700</f>
        <v>8905868.17</v>
      </c>
      <c r="L21" s="329">
        <f>-112270.85+87564.53</f>
        <v>-24706.320000000007</v>
      </c>
      <c r="M21" s="329">
        <f>102070+58659.7+1300</f>
        <v>162029.7</v>
      </c>
      <c r="N21" s="329">
        <f>-97120.37+401391.92+300</f>
        <v>304571.55</v>
      </c>
      <c r="Q21" s="329">
        <f>-701718.45-305232.18+346633.19</f>
        <v>-660317.44</v>
      </c>
      <c r="R21" s="329">
        <f>247218-1673095.26-1566942.35+192575.59</f>
        <v>-2800244.0200000005</v>
      </c>
      <c r="S21" s="329">
        <f>246682.5+7393-580633.47-341240.15+25030+58715+11066</f>
        <v>-572987.12</v>
      </c>
      <c r="T21" s="329">
        <f>-1334627.8-621617.68+118311.41+800</f>
        <v>-1837134.07</v>
      </c>
      <c r="U21" s="329">
        <f>95358+128026.15-611198.5-309321.87+316214.24</f>
        <v>-380921.98</v>
      </c>
      <c r="X21" s="330">
        <f>5403504-674770.24-33050.21+1400124+243336.58</f>
        <v>6339144.13</v>
      </c>
      <c r="Y21" s="343">
        <f>-729123.48-261796.22+114601.98</f>
        <v>-876317.72</v>
      </c>
      <c r="Z21" s="329">
        <f>-78768.04-169084.86+190211.22+180</f>
        <v>-57461.679999999964</v>
      </c>
      <c r="AA21" s="329">
        <f>128254-354165.73-12244.49+220821.21+70540</f>
        <v>53204.99000000002</v>
      </c>
      <c r="AB21" s="329">
        <f>9845+1021520+3864972.65+171246.67+1275298.5+10000-6-2587808.84-104359.47+269663+169773+6522-1000000</f>
        <v>3106666.5100000002</v>
      </c>
      <c r="AE21" s="329">
        <f>299887+19145723.07+14292595+398824+31876</f>
        <v>34168905.07</v>
      </c>
      <c r="AF21" s="329">
        <f>500+65502.8+3920+20640-22051131.65-15135.51+205774.16+50055</f>
        <v>-21719875.2</v>
      </c>
      <c r="AG21" s="329">
        <f>-3187652.52-311984.5+1243890.74+174847.58+186009.76+739454.67</f>
        <v>-1155434.27</v>
      </c>
      <c r="AH21" s="329">
        <f>908050+254001.83</f>
        <v>1162051.83</v>
      </c>
      <c r="AI21" s="329">
        <f>30000+11748+31759+329242+3640-510026.4-5645252.18+1001112+215742.42-6</f>
        <v>-4532041.16</v>
      </c>
      <c r="AL21" s="271">
        <f t="shared" si="0"/>
        <v>119737535.47</v>
      </c>
      <c r="AN21" s="164">
        <v>126951719.32</v>
      </c>
      <c r="AO21" s="221">
        <f>AN21-AL21</f>
        <v>7214183.849999994</v>
      </c>
      <c r="AP21" s="124" t="s">
        <v>93</v>
      </c>
      <c r="AQ21" s="151">
        <f>AL21+AO21</f>
        <v>126951719.32</v>
      </c>
      <c r="AR21" s="151">
        <f>AN21-AQ21</f>
        <v>0</v>
      </c>
    </row>
    <row r="22" spans="1:44" ht="23.25">
      <c r="A22" s="124">
        <v>1101030102</v>
      </c>
      <c r="B22" s="125" t="s">
        <v>15</v>
      </c>
      <c r="C22" s="111" t="s">
        <v>50</v>
      </c>
      <c r="D22" s="126">
        <v>9091058013</v>
      </c>
      <c r="E22" s="127" t="s">
        <v>6</v>
      </c>
      <c r="F22" s="151">
        <v>636095.24</v>
      </c>
      <c r="AL22" s="271">
        <f t="shared" si="0"/>
        <v>636095.24</v>
      </c>
      <c r="AN22" s="163">
        <v>636095.24</v>
      </c>
      <c r="AO22" s="221">
        <f aca="true" t="shared" si="1" ref="AO22:AO56">AN22-AL22</f>
        <v>0</v>
      </c>
      <c r="AQ22" s="151">
        <f aca="true" t="shared" si="2" ref="AQ22:AQ56">AL22+AO22</f>
        <v>636095.24</v>
      </c>
      <c r="AR22" s="151">
        <f aca="true" t="shared" si="3" ref="AR22:AR56">AN22-AQ22</f>
        <v>0</v>
      </c>
    </row>
    <row r="23" spans="1:44" ht="23.25">
      <c r="A23" s="124">
        <v>1101030102</v>
      </c>
      <c r="B23" s="125" t="s">
        <v>2</v>
      </c>
      <c r="C23" s="111" t="s">
        <v>51</v>
      </c>
      <c r="D23" s="126">
        <v>9321044531</v>
      </c>
      <c r="E23" s="127" t="s">
        <v>7</v>
      </c>
      <c r="F23" s="151">
        <v>12294.03</v>
      </c>
      <c r="AL23" s="271">
        <f t="shared" si="0"/>
        <v>12294.03</v>
      </c>
      <c r="AN23" s="163">
        <v>12294.03</v>
      </c>
      <c r="AO23" s="221">
        <f t="shared" si="1"/>
        <v>0</v>
      </c>
      <c r="AQ23" s="151">
        <f t="shared" si="2"/>
        <v>12294.03</v>
      </c>
      <c r="AR23" s="151">
        <f t="shared" si="3"/>
        <v>0</v>
      </c>
    </row>
    <row r="24" spans="1:44" ht="23.25">
      <c r="A24" s="124">
        <v>1101030102</v>
      </c>
      <c r="B24" s="125" t="s">
        <v>15</v>
      </c>
      <c r="C24" s="111" t="s">
        <v>52</v>
      </c>
      <c r="D24" s="126">
        <v>9092199648</v>
      </c>
      <c r="E24" s="127" t="s">
        <v>8</v>
      </c>
      <c r="F24" s="151">
        <v>174360.81</v>
      </c>
      <c r="AL24" s="271">
        <f t="shared" si="0"/>
        <v>174360.81</v>
      </c>
      <c r="AN24" s="163">
        <v>174360.81</v>
      </c>
      <c r="AO24" s="221">
        <f t="shared" si="1"/>
        <v>0</v>
      </c>
      <c r="AQ24" s="151">
        <f t="shared" si="2"/>
        <v>174360.81</v>
      </c>
      <c r="AR24" s="151">
        <f t="shared" si="3"/>
        <v>0</v>
      </c>
    </row>
    <row r="25" spans="1:44" ht="23.25">
      <c r="A25" s="124">
        <v>1101030102</v>
      </c>
      <c r="B25" s="125" t="s">
        <v>13</v>
      </c>
      <c r="C25" s="111" t="s">
        <v>143</v>
      </c>
      <c r="D25" s="129" t="s">
        <v>128</v>
      </c>
      <c r="E25" s="127" t="s">
        <v>147</v>
      </c>
      <c r="F25" s="151">
        <v>1077478.49</v>
      </c>
      <c r="R25" s="329">
        <f>-35508.39</f>
        <v>-35508.39</v>
      </c>
      <c r="S25" s="329">
        <f>-2971.96</f>
        <v>-2971.96</v>
      </c>
      <c r="X25" s="329">
        <f>-63507.86</f>
        <v>-63507.86</v>
      </c>
      <c r="Y25" s="343">
        <f>-106608.26</f>
        <v>-106608.26</v>
      </c>
      <c r="AB25" s="329">
        <f>-95013.65</f>
        <v>-95013.65</v>
      </c>
      <c r="AI25" s="329">
        <f>900</f>
        <v>900</v>
      </c>
      <c r="AL25" s="271">
        <f t="shared" si="0"/>
        <v>774768.37</v>
      </c>
      <c r="AN25" s="163">
        <v>797582.71</v>
      </c>
      <c r="AO25" s="221">
        <f t="shared" si="1"/>
        <v>22814.339999999967</v>
      </c>
      <c r="AP25" s="124" t="s">
        <v>93</v>
      </c>
      <c r="AQ25" s="151">
        <f t="shared" si="2"/>
        <v>797582.71</v>
      </c>
      <c r="AR25" s="151">
        <f t="shared" si="3"/>
        <v>0</v>
      </c>
    </row>
    <row r="26" spans="1:44" ht="23.25">
      <c r="A26" s="124">
        <v>1101030102</v>
      </c>
      <c r="B26" s="125" t="s">
        <v>2</v>
      </c>
      <c r="C26" s="111" t="s">
        <v>53</v>
      </c>
      <c r="D26" s="126">
        <v>9321151400</v>
      </c>
      <c r="E26" s="127" t="s">
        <v>17</v>
      </c>
      <c r="F26" s="151">
        <v>15793.57</v>
      </c>
      <c r="AL26" s="271">
        <f t="shared" si="0"/>
        <v>15793.57</v>
      </c>
      <c r="AN26" s="163">
        <v>15793.57</v>
      </c>
      <c r="AO26" s="221">
        <f t="shared" si="1"/>
        <v>0</v>
      </c>
      <c r="AQ26" s="151">
        <f t="shared" si="2"/>
        <v>15793.57</v>
      </c>
      <c r="AR26" s="151">
        <f t="shared" si="3"/>
        <v>0</v>
      </c>
    </row>
    <row r="27" spans="1:44" ht="23.25">
      <c r="A27" s="124">
        <v>1101030102</v>
      </c>
      <c r="B27" s="125" t="s">
        <v>2</v>
      </c>
      <c r="C27" s="111" t="s">
        <v>54</v>
      </c>
      <c r="D27" s="126">
        <v>9321484736</v>
      </c>
      <c r="E27" s="127" t="s">
        <v>19</v>
      </c>
      <c r="F27" s="151">
        <v>0</v>
      </c>
      <c r="AL27" s="271">
        <f t="shared" si="0"/>
        <v>0</v>
      </c>
      <c r="AO27" s="221">
        <f t="shared" si="1"/>
        <v>0</v>
      </c>
      <c r="AQ27" s="151">
        <f t="shared" si="2"/>
        <v>0</v>
      </c>
      <c r="AR27" s="151">
        <f t="shared" si="3"/>
        <v>0</v>
      </c>
    </row>
    <row r="28" spans="1:44" ht="23.25">
      <c r="A28" s="124">
        <v>1101030102</v>
      </c>
      <c r="B28" s="125" t="s">
        <v>2</v>
      </c>
      <c r="C28" s="111" t="s">
        <v>55</v>
      </c>
      <c r="D28" s="126">
        <v>9321441107</v>
      </c>
      <c r="E28" s="127" t="s">
        <v>20</v>
      </c>
      <c r="F28" s="151">
        <v>41917.54</v>
      </c>
      <c r="AL28" s="271">
        <f t="shared" si="0"/>
        <v>41917.54</v>
      </c>
      <c r="AN28" s="163">
        <v>41917.54</v>
      </c>
      <c r="AO28" s="221">
        <f t="shared" si="1"/>
        <v>0</v>
      </c>
      <c r="AQ28" s="151">
        <f t="shared" si="2"/>
        <v>41917.54</v>
      </c>
      <c r="AR28" s="151">
        <f t="shared" si="3"/>
        <v>0</v>
      </c>
    </row>
    <row r="29" spans="1:44" ht="23.25">
      <c r="A29" s="124">
        <v>1101030102</v>
      </c>
      <c r="B29" s="125" t="s">
        <v>2</v>
      </c>
      <c r="C29" s="111" t="s">
        <v>77</v>
      </c>
      <c r="D29" s="126">
        <v>9321441638</v>
      </c>
      <c r="E29" s="127" t="s">
        <v>21</v>
      </c>
      <c r="F29" s="151">
        <v>3913.86</v>
      </c>
      <c r="AL29" s="271">
        <f t="shared" si="0"/>
        <v>3913.86</v>
      </c>
      <c r="AN29" s="163">
        <v>3913.86</v>
      </c>
      <c r="AO29" s="221">
        <f t="shared" si="1"/>
        <v>0</v>
      </c>
      <c r="AQ29" s="151">
        <f t="shared" si="2"/>
        <v>3913.86</v>
      </c>
      <c r="AR29" s="151">
        <f t="shared" si="3"/>
        <v>0</v>
      </c>
    </row>
    <row r="30" spans="1:44" ht="23.25">
      <c r="A30" s="124">
        <v>1101030102</v>
      </c>
      <c r="B30" s="125" t="s">
        <v>2</v>
      </c>
      <c r="C30" s="111" t="s">
        <v>56</v>
      </c>
      <c r="D30" s="126">
        <v>9321474838</v>
      </c>
      <c r="E30" s="127" t="s">
        <v>22</v>
      </c>
      <c r="F30" s="151">
        <v>4387.09</v>
      </c>
      <c r="AL30" s="271">
        <f t="shared" si="0"/>
        <v>4387.09</v>
      </c>
      <c r="AN30" s="163">
        <v>4387.09</v>
      </c>
      <c r="AO30" s="221">
        <f t="shared" si="1"/>
        <v>0</v>
      </c>
      <c r="AQ30" s="151">
        <f t="shared" si="2"/>
        <v>4387.09</v>
      </c>
      <c r="AR30" s="151">
        <f t="shared" si="3"/>
        <v>0</v>
      </c>
    </row>
    <row r="31" spans="1:44" ht="23.25">
      <c r="A31" s="124">
        <v>1101030102</v>
      </c>
      <c r="B31" s="125" t="s">
        <v>2</v>
      </c>
      <c r="C31" s="111" t="s">
        <v>57</v>
      </c>
      <c r="D31" s="126">
        <v>9320023573</v>
      </c>
      <c r="E31" s="127" t="s">
        <v>23</v>
      </c>
      <c r="F31" s="151">
        <v>101071.68</v>
      </c>
      <c r="AL31" s="271">
        <f t="shared" si="0"/>
        <v>101071.68</v>
      </c>
      <c r="AN31" s="163">
        <v>101071.68</v>
      </c>
      <c r="AO31" s="221">
        <f t="shared" si="1"/>
        <v>0</v>
      </c>
      <c r="AQ31" s="151">
        <f t="shared" si="2"/>
        <v>101071.68</v>
      </c>
      <c r="AR31" s="151">
        <f t="shared" si="3"/>
        <v>0</v>
      </c>
    </row>
    <row r="32" spans="1:44" s="137" customFormat="1" ht="23.25">
      <c r="A32" s="136">
        <v>1101030102</v>
      </c>
      <c r="B32" s="137" t="s">
        <v>2</v>
      </c>
      <c r="C32" s="112" t="s">
        <v>58</v>
      </c>
      <c r="D32" s="138">
        <v>9321188886</v>
      </c>
      <c r="E32" s="139" t="s">
        <v>24</v>
      </c>
      <c r="F32" s="151">
        <v>0</v>
      </c>
      <c r="G32" s="331"/>
      <c r="H32" s="332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44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271">
        <f t="shared" si="0"/>
        <v>0</v>
      </c>
      <c r="AM32" s="140"/>
      <c r="AN32" s="165"/>
      <c r="AO32" s="221">
        <f t="shared" si="1"/>
        <v>0</v>
      </c>
      <c r="AP32" s="136"/>
      <c r="AQ32" s="151">
        <f t="shared" si="2"/>
        <v>0</v>
      </c>
      <c r="AR32" s="151">
        <f t="shared" si="3"/>
        <v>0</v>
      </c>
    </row>
    <row r="33" spans="1:44" ht="23.25">
      <c r="A33" s="124">
        <v>1101030102</v>
      </c>
      <c r="B33" s="125" t="s">
        <v>2</v>
      </c>
      <c r="C33" s="111" t="s">
        <v>48</v>
      </c>
      <c r="D33" s="126">
        <v>9321108904</v>
      </c>
      <c r="E33" s="127" t="s">
        <v>25</v>
      </c>
      <c r="F33" s="151">
        <v>11121042.7</v>
      </c>
      <c r="L33" s="329">
        <f>-8915.89</f>
        <v>-8915.89</v>
      </c>
      <c r="R33" s="329">
        <f>-493.24</f>
        <v>-493.24</v>
      </c>
      <c r="AB33" s="329">
        <f>2352151.25+781921.25-24</f>
        <v>3134048.5</v>
      </c>
      <c r="AG33" s="329">
        <f>-3185004.76-2970760.67</f>
        <v>-6155765.43</v>
      </c>
      <c r="AH33" s="329">
        <f>-799704.25</f>
        <v>-799704.25</v>
      </c>
      <c r="AL33" s="271">
        <f t="shared" si="0"/>
        <v>7290212.39</v>
      </c>
      <c r="AN33" s="163">
        <v>7290230.39</v>
      </c>
      <c r="AO33" s="221">
        <f t="shared" si="1"/>
        <v>18</v>
      </c>
      <c r="AP33" s="124" t="s">
        <v>93</v>
      </c>
      <c r="AQ33" s="151">
        <f t="shared" si="2"/>
        <v>7290230.39</v>
      </c>
      <c r="AR33" s="151">
        <f t="shared" si="3"/>
        <v>0</v>
      </c>
    </row>
    <row r="34" spans="1:44" s="137" customFormat="1" ht="23.25">
      <c r="A34" s="136">
        <v>1101030102</v>
      </c>
      <c r="B34" s="137" t="s">
        <v>14</v>
      </c>
      <c r="C34" s="112" t="s">
        <v>59</v>
      </c>
      <c r="D34" s="141" t="s">
        <v>16</v>
      </c>
      <c r="E34" s="139" t="s">
        <v>26</v>
      </c>
      <c r="F34" s="151">
        <v>0</v>
      </c>
      <c r="G34" s="331"/>
      <c r="H34" s="332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44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271">
        <f t="shared" si="0"/>
        <v>0</v>
      </c>
      <c r="AM34" s="140"/>
      <c r="AN34" s="165"/>
      <c r="AO34" s="221">
        <f t="shared" si="1"/>
        <v>0</v>
      </c>
      <c r="AP34" s="136"/>
      <c r="AQ34" s="151">
        <f t="shared" si="2"/>
        <v>0</v>
      </c>
      <c r="AR34" s="151">
        <f t="shared" si="3"/>
        <v>0</v>
      </c>
    </row>
    <row r="35" spans="1:44" ht="23.25">
      <c r="A35" s="124">
        <v>1101030102</v>
      </c>
      <c r="B35" s="125" t="s">
        <v>14</v>
      </c>
      <c r="C35" s="111" t="s">
        <v>76</v>
      </c>
      <c r="D35" s="313" t="s">
        <v>60</v>
      </c>
      <c r="E35" s="312" t="s">
        <v>27</v>
      </c>
      <c r="F35" s="151">
        <v>140220977.62</v>
      </c>
      <c r="H35" s="329"/>
      <c r="L35" s="329">
        <f>-267476.64</f>
        <v>-267476.64</v>
      </c>
      <c r="N35" s="329">
        <f>5220+39462-778515.89</f>
        <v>-733833.89</v>
      </c>
      <c r="Q35" s="329">
        <f>-107499.17</f>
        <v>-107499.17</v>
      </c>
      <c r="R35" s="329">
        <f>-15407.39</f>
        <v>-15407.39</v>
      </c>
      <c r="T35" s="329">
        <f>1475550+35000-81885</f>
        <v>1428665</v>
      </c>
      <c r="U35" s="329">
        <f>-161872.9</f>
        <v>-161872.9</v>
      </c>
      <c r="Y35" s="343">
        <f>-666003.54</f>
        <v>-666003.54</v>
      </c>
      <c r="Z35" s="329">
        <f>61600</f>
        <v>61600</v>
      </c>
      <c r="AA35" s="329">
        <f>1763662.77+2132631.95</f>
        <v>3896294.72</v>
      </c>
      <c r="AB35" s="329">
        <f>17694</f>
        <v>17694</v>
      </c>
      <c r="AE35" s="329">
        <f>93733.51-19145723.07-14292595</f>
        <v>-33344584.56</v>
      </c>
      <c r="AG35" s="329">
        <f>-44464.88</f>
        <v>-44464.88</v>
      </c>
      <c r="AH35" s="329">
        <f>600</f>
        <v>600</v>
      </c>
      <c r="AI35" s="329">
        <f>3208923.7+598955.9+42143.08+7879596.8+30000-20841.12</f>
        <v>11738778.360000001</v>
      </c>
      <c r="AL35" s="311">
        <f aca="true" t="shared" si="4" ref="AL35:AL55">(F35)+SUM(G35:AK35)</f>
        <v>122023466.73000002</v>
      </c>
      <c r="AN35" s="163">
        <v>122347510.3</v>
      </c>
      <c r="AO35" s="322">
        <f t="shared" si="1"/>
        <v>324043.56999997795</v>
      </c>
      <c r="AP35" s="124" t="s">
        <v>93</v>
      </c>
      <c r="AQ35" s="151">
        <f t="shared" si="2"/>
        <v>122347510.3</v>
      </c>
      <c r="AR35" s="151">
        <f t="shared" si="3"/>
        <v>0</v>
      </c>
    </row>
    <row r="36" spans="1:44" ht="23.25">
      <c r="A36" s="124">
        <v>1101030102</v>
      </c>
      <c r="B36" s="125" t="s">
        <v>2</v>
      </c>
      <c r="C36" s="111" t="s">
        <v>61</v>
      </c>
      <c r="D36" s="218">
        <v>9320115583</v>
      </c>
      <c r="E36" s="219" t="s">
        <v>28</v>
      </c>
      <c r="F36" s="151">
        <v>16843495.01</v>
      </c>
      <c r="K36" s="329">
        <f>-1140.56</f>
        <v>-1140.56</v>
      </c>
      <c r="N36" s="329">
        <f>-366815.98</f>
        <v>-366815.98</v>
      </c>
      <c r="Q36" s="329">
        <f>-7620.46</f>
        <v>-7620.46</v>
      </c>
      <c r="R36" s="329">
        <f>-925.04</f>
        <v>-925.04</v>
      </c>
      <c r="Y36" s="343">
        <f>-120750</f>
        <v>-120750</v>
      </c>
      <c r="AA36" s="329">
        <f>-129955.11</f>
        <v>-129955.11</v>
      </c>
      <c r="AB36" s="329">
        <f>-5993.46</f>
        <v>-5993.46</v>
      </c>
      <c r="AE36" s="329">
        <f>-630</f>
        <v>-630</v>
      </c>
      <c r="AH36" s="329">
        <f>-11000</f>
        <v>-11000</v>
      </c>
      <c r="AI36" s="329">
        <f>-214014.59</f>
        <v>-214014.59</v>
      </c>
      <c r="AL36" s="271">
        <f t="shared" si="4"/>
        <v>15984649.810000002</v>
      </c>
      <c r="AN36" s="163">
        <v>15982753.18</v>
      </c>
      <c r="AO36" s="221">
        <f t="shared" si="1"/>
        <v>-1896.6300000026822</v>
      </c>
      <c r="AP36" s="124" t="s">
        <v>92</v>
      </c>
      <c r="AQ36" s="151">
        <f t="shared" si="2"/>
        <v>15982753.18</v>
      </c>
      <c r="AR36" s="151">
        <f t="shared" si="3"/>
        <v>0</v>
      </c>
    </row>
    <row r="37" spans="1:44" ht="23.25">
      <c r="A37" s="124">
        <v>1101030102</v>
      </c>
      <c r="B37" s="125" t="s">
        <v>2</v>
      </c>
      <c r="C37" s="111" t="s">
        <v>62</v>
      </c>
      <c r="D37" s="126">
        <v>9320261059</v>
      </c>
      <c r="E37" s="127" t="s">
        <v>29</v>
      </c>
      <c r="F37" s="151">
        <v>43729347.16</v>
      </c>
      <c r="AF37" s="329">
        <f>-512336</f>
        <v>-512336</v>
      </c>
      <c r="AG37" s="329">
        <f>992366.12+2231306</f>
        <v>3223672.12</v>
      </c>
      <c r="AL37" s="271">
        <f t="shared" si="4"/>
        <v>46440683.279999994</v>
      </c>
      <c r="AN37" s="163">
        <v>46440682.78</v>
      </c>
      <c r="AO37" s="221">
        <f t="shared" si="1"/>
        <v>-0.4999999925494194</v>
      </c>
      <c r="AP37" s="124" t="s">
        <v>92</v>
      </c>
      <c r="AQ37" s="151">
        <f t="shared" si="2"/>
        <v>46440682.78</v>
      </c>
      <c r="AR37" s="151">
        <f t="shared" si="3"/>
        <v>0</v>
      </c>
    </row>
    <row r="38" spans="1:44" ht="23.25">
      <c r="A38" s="124">
        <v>1101030102</v>
      </c>
      <c r="B38" s="125" t="s">
        <v>2</v>
      </c>
      <c r="C38" s="111" t="s">
        <v>63</v>
      </c>
      <c r="D38" s="126">
        <v>9320293791</v>
      </c>
      <c r="E38" s="127" t="s">
        <v>30</v>
      </c>
      <c r="F38" s="151">
        <v>13627643</v>
      </c>
      <c r="Z38" s="329">
        <f>-110000</f>
        <v>-110000</v>
      </c>
      <c r="AL38" s="271">
        <f t="shared" si="4"/>
        <v>13517643</v>
      </c>
      <c r="AN38" s="163">
        <v>13517643</v>
      </c>
      <c r="AO38" s="221">
        <f t="shared" si="1"/>
        <v>0</v>
      </c>
      <c r="AQ38" s="151">
        <f t="shared" si="2"/>
        <v>13517643</v>
      </c>
      <c r="AR38" s="151">
        <f t="shared" si="3"/>
        <v>0</v>
      </c>
    </row>
    <row r="39" spans="1:44" ht="23.25">
      <c r="A39" s="124">
        <v>1101030102</v>
      </c>
      <c r="B39" s="125" t="s">
        <v>2</v>
      </c>
      <c r="C39" s="111" t="s">
        <v>64</v>
      </c>
      <c r="D39" s="126">
        <v>9320293783</v>
      </c>
      <c r="E39" s="127" t="s">
        <v>34</v>
      </c>
      <c r="F39" s="151">
        <v>10749819.98</v>
      </c>
      <c r="AL39" s="271">
        <f t="shared" si="4"/>
        <v>10749819.98</v>
      </c>
      <c r="AN39" s="163">
        <v>10749819.98</v>
      </c>
      <c r="AO39" s="221">
        <f t="shared" si="1"/>
        <v>0</v>
      </c>
      <c r="AQ39" s="151">
        <f t="shared" si="2"/>
        <v>10749819.98</v>
      </c>
      <c r="AR39" s="151">
        <f t="shared" si="3"/>
        <v>0</v>
      </c>
    </row>
    <row r="40" spans="1:44" ht="23.25">
      <c r="A40" s="124">
        <v>1101030102</v>
      </c>
      <c r="B40" s="125" t="s">
        <v>2</v>
      </c>
      <c r="C40" s="111" t="s">
        <v>47</v>
      </c>
      <c r="D40" s="126">
        <v>9320344507</v>
      </c>
      <c r="E40" s="127" t="s">
        <v>35</v>
      </c>
      <c r="F40" s="151">
        <v>7079064.73</v>
      </c>
      <c r="K40" s="329">
        <f>3200</f>
        <v>3200</v>
      </c>
      <c r="L40" s="329">
        <f>365</f>
        <v>365</v>
      </c>
      <c r="Q40" s="329">
        <f>365</f>
        <v>365</v>
      </c>
      <c r="T40" s="329">
        <f>5165</f>
        <v>5165</v>
      </c>
      <c r="X40" s="329">
        <f>1600</f>
        <v>1600</v>
      </c>
      <c r="Y40" s="343">
        <f>8000</f>
        <v>8000</v>
      </c>
      <c r="AA40" s="329">
        <f>-10762</f>
        <v>-10762</v>
      </c>
      <c r="AE40" s="329">
        <f>3200</f>
        <v>3200</v>
      </c>
      <c r="AF40" s="329">
        <v>4800</v>
      </c>
      <c r="AG40" s="329">
        <f>3200-186009.76</f>
        <v>-182809.76</v>
      </c>
      <c r="AH40" s="329">
        <v>4800</v>
      </c>
      <c r="AI40" s="329">
        <v>1500</v>
      </c>
      <c r="AL40" s="271">
        <f t="shared" si="4"/>
        <v>6918487.970000001</v>
      </c>
      <c r="AN40" s="163">
        <v>6918487.97</v>
      </c>
      <c r="AO40" s="221">
        <f t="shared" si="1"/>
        <v>0</v>
      </c>
      <c r="AQ40" s="151">
        <f t="shared" si="2"/>
        <v>6918487.970000001</v>
      </c>
      <c r="AR40" s="151">
        <f t="shared" si="3"/>
        <v>0</v>
      </c>
    </row>
    <row r="41" spans="1:44" ht="23.25">
      <c r="A41" s="124">
        <v>1101030102</v>
      </c>
      <c r="B41" s="125" t="s">
        <v>2</v>
      </c>
      <c r="C41" s="111" t="s">
        <v>65</v>
      </c>
      <c r="D41" s="126">
        <v>9320429634</v>
      </c>
      <c r="E41" s="127" t="s">
        <v>36</v>
      </c>
      <c r="F41" s="151">
        <v>571143.55</v>
      </c>
      <c r="AL41" s="271">
        <f t="shared" si="4"/>
        <v>571143.55</v>
      </c>
      <c r="AN41" s="163">
        <v>571143.55</v>
      </c>
      <c r="AO41" s="221">
        <f t="shared" si="1"/>
        <v>0</v>
      </c>
      <c r="AQ41" s="151">
        <f t="shared" si="2"/>
        <v>571143.55</v>
      </c>
      <c r="AR41" s="151">
        <f t="shared" si="3"/>
        <v>0</v>
      </c>
    </row>
    <row r="42" spans="1:44" ht="23.25">
      <c r="A42" s="124">
        <v>1101030102</v>
      </c>
      <c r="B42" s="125" t="s">
        <v>2</v>
      </c>
      <c r="C42" s="111" t="s">
        <v>66</v>
      </c>
      <c r="D42" s="129" t="s">
        <v>38</v>
      </c>
      <c r="E42" s="130" t="s">
        <v>37</v>
      </c>
      <c r="F42" s="151">
        <v>0</v>
      </c>
      <c r="AL42" s="271">
        <f t="shared" si="4"/>
        <v>0</v>
      </c>
      <c r="AO42" s="221">
        <f t="shared" si="1"/>
        <v>0</v>
      </c>
      <c r="AQ42" s="151">
        <f t="shared" si="2"/>
        <v>0</v>
      </c>
      <c r="AR42" s="151">
        <f t="shared" si="3"/>
        <v>0</v>
      </c>
    </row>
    <row r="43" spans="1:44" ht="23.25">
      <c r="A43" s="124">
        <v>1101030102</v>
      </c>
      <c r="B43" s="125" t="s">
        <v>2</v>
      </c>
      <c r="C43" s="111" t="s">
        <v>67</v>
      </c>
      <c r="D43" s="126">
        <v>9320515662</v>
      </c>
      <c r="E43" s="130" t="s">
        <v>81</v>
      </c>
      <c r="F43" s="151">
        <v>1626474.08</v>
      </c>
      <c r="R43" s="329">
        <f>-72.9</f>
        <v>-72.9</v>
      </c>
      <c r="X43" s="329">
        <f>148945.56</f>
        <v>148945.56</v>
      </c>
      <c r="AL43" s="271">
        <f t="shared" si="4"/>
        <v>1775346.74</v>
      </c>
      <c r="AN43" s="163">
        <v>1775346.74</v>
      </c>
      <c r="AO43" s="221">
        <f t="shared" si="1"/>
        <v>0</v>
      </c>
      <c r="AQ43" s="151">
        <f t="shared" si="2"/>
        <v>1775346.74</v>
      </c>
      <c r="AR43" s="151">
        <f t="shared" si="3"/>
        <v>0</v>
      </c>
    </row>
    <row r="44" spans="1:44" ht="23.25">
      <c r="A44" s="124">
        <v>1101030102</v>
      </c>
      <c r="B44" s="125" t="s">
        <v>14</v>
      </c>
      <c r="C44" s="111" t="s">
        <v>69</v>
      </c>
      <c r="D44" s="129" t="s">
        <v>43</v>
      </c>
      <c r="E44" s="130" t="s">
        <v>82</v>
      </c>
      <c r="F44" s="151">
        <v>26271.17</v>
      </c>
      <c r="K44" s="329">
        <v>118878.48</v>
      </c>
      <c r="AI44" s="329">
        <f>-118878.48</f>
        <v>-118878.48</v>
      </c>
      <c r="AL44" s="271">
        <f t="shared" si="4"/>
        <v>26271.17</v>
      </c>
      <c r="AN44" s="163">
        <v>26388.71</v>
      </c>
      <c r="AO44" s="221">
        <f t="shared" si="1"/>
        <v>117.54000000000087</v>
      </c>
      <c r="AP44" s="124" t="s">
        <v>93</v>
      </c>
      <c r="AQ44" s="151">
        <f t="shared" si="2"/>
        <v>26388.71</v>
      </c>
      <c r="AR44" s="151">
        <f t="shared" si="3"/>
        <v>0</v>
      </c>
    </row>
    <row r="45" spans="1:44" ht="23.25">
      <c r="A45" s="124">
        <v>1101030102</v>
      </c>
      <c r="B45" s="125" t="s">
        <v>2</v>
      </c>
      <c r="C45" s="111" t="s">
        <v>70</v>
      </c>
      <c r="D45" s="126">
        <v>9320614350</v>
      </c>
      <c r="E45" s="130" t="s">
        <v>83</v>
      </c>
      <c r="F45" s="151">
        <v>379138.02</v>
      </c>
      <c r="AL45" s="271">
        <f t="shared" si="4"/>
        <v>379138.02</v>
      </c>
      <c r="AN45" s="163">
        <v>379138.02</v>
      </c>
      <c r="AO45" s="221">
        <f t="shared" si="1"/>
        <v>0</v>
      </c>
      <c r="AQ45" s="151">
        <f t="shared" si="2"/>
        <v>379138.02</v>
      </c>
      <c r="AR45" s="151">
        <f t="shared" si="3"/>
        <v>0</v>
      </c>
    </row>
    <row r="46" spans="1:44" ht="23.25">
      <c r="A46" s="124">
        <v>1101030102</v>
      </c>
      <c r="B46" s="125" t="s">
        <v>13</v>
      </c>
      <c r="C46" s="111" t="s">
        <v>68</v>
      </c>
      <c r="D46" s="126">
        <v>5081084530</v>
      </c>
      <c r="E46" s="127" t="s">
        <v>84</v>
      </c>
      <c r="F46" s="151">
        <v>123420.31</v>
      </c>
      <c r="AL46" s="271">
        <f t="shared" si="4"/>
        <v>123420.31</v>
      </c>
      <c r="AN46" s="163">
        <v>123420.31</v>
      </c>
      <c r="AO46" s="221">
        <f t="shared" si="1"/>
        <v>0</v>
      </c>
      <c r="AQ46" s="151">
        <f t="shared" si="2"/>
        <v>123420.31</v>
      </c>
      <c r="AR46" s="151">
        <f t="shared" si="3"/>
        <v>0</v>
      </c>
    </row>
    <row r="47" spans="1:44" ht="23.25">
      <c r="A47" s="124">
        <v>1101030102</v>
      </c>
      <c r="B47" s="125" t="s">
        <v>89</v>
      </c>
      <c r="C47" s="111" t="s">
        <v>87</v>
      </c>
      <c r="D47" s="129" t="s">
        <v>88</v>
      </c>
      <c r="E47" s="145" t="s">
        <v>90</v>
      </c>
      <c r="F47" s="151">
        <v>24089956.66</v>
      </c>
      <c r="R47" s="329">
        <f>-9742.99</f>
        <v>-9742.99</v>
      </c>
      <c r="T47" s="329">
        <f>-148598.13</f>
        <v>-148598.13</v>
      </c>
      <c r="AH47" s="329">
        <f>-445794.39</f>
        <v>-445794.39</v>
      </c>
      <c r="AL47" s="271">
        <f t="shared" si="4"/>
        <v>23485821.15</v>
      </c>
      <c r="AN47" s="163">
        <v>23539426.75</v>
      </c>
      <c r="AO47" s="221">
        <f t="shared" si="1"/>
        <v>53605.60000000149</v>
      </c>
      <c r="AP47" s="124" t="s">
        <v>93</v>
      </c>
      <c r="AQ47" s="151">
        <f t="shared" si="2"/>
        <v>23539426.75</v>
      </c>
      <c r="AR47" s="151">
        <f t="shared" si="3"/>
        <v>0</v>
      </c>
    </row>
    <row r="48" spans="1:44" ht="23.25">
      <c r="A48" s="124">
        <v>1101030102</v>
      </c>
      <c r="C48" s="111" t="s">
        <v>99</v>
      </c>
      <c r="D48" s="126" t="s">
        <v>100</v>
      </c>
      <c r="E48" s="146" t="s">
        <v>103</v>
      </c>
      <c r="F48" s="151">
        <v>84703.91</v>
      </c>
      <c r="AL48" s="271">
        <f t="shared" si="4"/>
        <v>84703.91</v>
      </c>
      <c r="AN48" s="163">
        <v>84703.91</v>
      </c>
      <c r="AO48" s="221">
        <f t="shared" si="1"/>
        <v>0</v>
      </c>
      <c r="AQ48" s="151">
        <f t="shared" si="2"/>
        <v>84703.91</v>
      </c>
      <c r="AR48" s="151">
        <f t="shared" si="3"/>
        <v>0</v>
      </c>
    </row>
    <row r="49" spans="1:44" ht="23.25">
      <c r="A49" s="124">
        <v>1101030102</v>
      </c>
      <c r="C49" s="111" t="s">
        <v>107</v>
      </c>
      <c r="D49" s="148" t="s">
        <v>108</v>
      </c>
      <c r="E49" s="149" t="s">
        <v>111</v>
      </c>
      <c r="F49" s="151">
        <v>6353834.91</v>
      </c>
      <c r="AG49" s="329">
        <f>465106.43</f>
        <v>465106.43</v>
      </c>
      <c r="AL49" s="271">
        <f t="shared" si="4"/>
        <v>6818941.34</v>
      </c>
      <c r="AN49" s="163">
        <v>6818941.34</v>
      </c>
      <c r="AO49" s="221">
        <f t="shared" si="1"/>
        <v>0</v>
      </c>
      <c r="AQ49" s="151">
        <f t="shared" si="2"/>
        <v>6818941.34</v>
      </c>
      <c r="AR49" s="151">
        <f t="shared" si="3"/>
        <v>0</v>
      </c>
    </row>
    <row r="50" spans="1:44" ht="23.25">
      <c r="A50" s="124">
        <v>1101030102</v>
      </c>
      <c r="B50" s="135" t="s">
        <v>0</v>
      </c>
      <c r="C50" s="111" t="s">
        <v>120</v>
      </c>
      <c r="D50" s="314">
        <v>9320830827</v>
      </c>
      <c r="E50" s="315" t="s">
        <v>121</v>
      </c>
      <c r="F50" s="151">
        <v>19042402.89</v>
      </c>
      <c r="M50" s="329">
        <f>1987.5</f>
        <v>1987.5</v>
      </c>
      <c r="T50" s="329">
        <f>10000</f>
        <v>10000</v>
      </c>
      <c r="U50" s="329">
        <f>11090</f>
        <v>11090</v>
      </c>
      <c r="X50" s="329">
        <f>3000</f>
        <v>3000</v>
      </c>
      <c r="Z50" s="329">
        <f>10000</f>
        <v>10000</v>
      </c>
      <c r="AE50" s="329">
        <f>10000</f>
        <v>10000</v>
      </c>
      <c r="AH50" s="329">
        <f>5220</f>
        <v>5220</v>
      </c>
      <c r="AL50" s="271">
        <f t="shared" si="4"/>
        <v>19093700.39</v>
      </c>
      <c r="AN50" s="163">
        <v>19093700.39</v>
      </c>
      <c r="AO50" s="221">
        <f t="shared" si="1"/>
        <v>0</v>
      </c>
      <c r="AQ50" s="151">
        <f t="shared" si="2"/>
        <v>19093700.39</v>
      </c>
      <c r="AR50" s="151">
        <f t="shared" si="3"/>
        <v>0</v>
      </c>
    </row>
    <row r="51" spans="1:44" ht="23.25">
      <c r="A51" s="124">
        <v>1101030102</v>
      </c>
      <c r="B51" s="135"/>
      <c r="C51" s="111" t="s">
        <v>122</v>
      </c>
      <c r="D51" s="148">
        <v>9320821550</v>
      </c>
      <c r="E51" s="149" t="s">
        <v>123</v>
      </c>
      <c r="F51" s="151">
        <v>48821265.7</v>
      </c>
      <c r="AL51" s="271">
        <f t="shared" si="4"/>
        <v>48821265.7</v>
      </c>
      <c r="AN51" s="163">
        <v>48821265.7</v>
      </c>
      <c r="AO51" s="221">
        <f t="shared" si="1"/>
        <v>0</v>
      </c>
      <c r="AQ51" s="151">
        <f t="shared" si="2"/>
        <v>48821265.7</v>
      </c>
      <c r="AR51" s="151">
        <f t="shared" si="3"/>
        <v>0</v>
      </c>
    </row>
    <row r="52" spans="1:44" ht="23.25">
      <c r="A52" s="124">
        <v>1101030102</v>
      </c>
      <c r="B52" s="135"/>
      <c r="C52" s="111" t="s">
        <v>125</v>
      </c>
      <c r="D52" s="148">
        <v>9320917914</v>
      </c>
      <c r="E52" s="149" t="s">
        <v>126</v>
      </c>
      <c r="F52" s="151">
        <v>7183.11</v>
      </c>
      <c r="AL52" s="271">
        <f t="shared" si="4"/>
        <v>7183.11</v>
      </c>
      <c r="AN52" s="163">
        <v>7183.11</v>
      </c>
      <c r="AO52" s="221">
        <f t="shared" si="1"/>
        <v>0</v>
      </c>
      <c r="AQ52" s="151">
        <f t="shared" si="2"/>
        <v>7183.11</v>
      </c>
      <c r="AR52" s="151">
        <f t="shared" si="3"/>
        <v>0</v>
      </c>
    </row>
    <row r="53" spans="1:44" ht="23.25">
      <c r="A53" s="124">
        <v>1101030102</v>
      </c>
      <c r="B53" s="132" t="s">
        <v>153</v>
      </c>
      <c r="C53" s="111" t="s">
        <v>152</v>
      </c>
      <c r="D53" s="148">
        <v>65110073186</v>
      </c>
      <c r="E53" s="149" t="s">
        <v>154</v>
      </c>
      <c r="F53" s="151">
        <v>1732063.21</v>
      </c>
      <c r="AL53" s="271">
        <f t="shared" si="4"/>
        <v>1732063.21</v>
      </c>
      <c r="AN53" s="163">
        <v>1774104.31</v>
      </c>
      <c r="AO53" s="221">
        <f t="shared" si="1"/>
        <v>42041.10000000009</v>
      </c>
      <c r="AP53" s="124" t="s">
        <v>93</v>
      </c>
      <c r="AQ53" s="151">
        <f t="shared" si="2"/>
        <v>1774104.31</v>
      </c>
      <c r="AR53" s="151">
        <f t="shared" si="3"/>
        <v>0</v>
      </c>
    </row>
    <row r="54" spans="1:44" ht="23.25">
      <c r="A54" s="132" t="s">
        <v>113</v>
      </c>
      <c r="B54" s="125" t="s">
        <v>114</v>
      </c>
      <c r="C54" s="111" t="s">
        <v>115</v>
      </c>
      <c r="D54" s="148">
        <v>65210028561</v>
      </c>
      <c r="E54" s="149" t="s">
        <v>116</v>
      </c>
      <c r="F54" s="151">
        <v>30000000</v>
      </c>
      <c r="AL54" s="271">
        <f t="shared" si="4"/>
        <v>30000000</v>
      </c>
      <c r="AN54" s="163">
        <v>30000000</v>
      </c>
      <c r="AO54" s="221">
        <f t="shared" si="1"/>
        <v>0</v>
      </c>
      <c r="AQ54" s="151">
        <f t="shared" si="2"/>
        <v>30000000</v>
      </c>
      <c r="AR54" s="151">
        <f t="shared" si="3"/>
        <v>0</v>
      </c>
    </row>
    <row r="55" spans="1:44" ht="23.25">
      <c r="A55" s="132" t="s">
        <v>113</v>
      </c>
      <c r="B55" s="125" t="s">
        <v>118</v>
      </c>
      <c r="C55" s="111" t="s">
        <v>62</v>
      </c>
      <c r="D55" s="148">
        <v>300020091397</v>
      </c>
      <c r="E55" s="149" t="s">
        <v>117</v>
      </c>
      <c r="F55" s="151">
        <v>10419049.05</v>
      </c>
      <c r="AL55" s="273">
        <f t="shared" si="4"/>
        <v>10419049.05</v>
      </c>
      <c r="AM55" s="147"/>
      <c r="AN55" s="317">
        <v>10419049.05</v>
      </c>
      <c r="AO55" s="323">
        <f t="shared" si="1"/>
        <v>0</v>
      </c>
      <c r="AP55" s="190"/>
      <c r="AQ55" s="151">
        <f t="shared" si="2"/>
        <v>10419049.05</v>
      </c>
      <c r="AR55" s="151">
        <f t="shared" si="3"/>
        <v>0</v>
      </c>
    </row>
    <row r="56" spans="1:44" ht="24" thickBot="1">
      <c r="A56" s="190"/>
      <c r="B56" s="292"/>
      <c r="C56" s="262"/>
      <c r="D56" s="293"/>
      <c r="E56" s="294"/>
      <c r="F56" s="157">
        <f>SUM(F3:F55)</f>
        <v>488500548.0500001</v>
      </c>
      <c r="G56" s="330">
        <f aca="true" t="shared" si="5" ref="G56:AL56">SUM(G3:G55)</f>
        <v>0</v>
      </c>
      <c r="H56" s="330">
        <f t="shared" si="5"/>
        <v>0</v>
      </c>
      <c r="I56" s="330">
        <f t="shared" si="5"/>
        <v>0</v>
      </c>
      <c r="J56" s="330">
        <f t="shared" si="5"/>
        <v>493901.53</v>
      </c>
      <c r="K56" s="330">
        <f t="shared" si="5"/>
        <v>9026806.09</v>
      </c>
      <c r="L56" s="330">
        <f t="shared" si="5"/>
        <v>-300733.85000000003</v>
      </c>
      <c r="M56" s="330">
        <f t="shared" si="5"/>
        <v>164017.2</v>
      </c>
      <c r="N56" s="330">
        <f t="shared" si="5"/>
        <v>-796078.3200000001</v>
      </c>
      <c r="O56" s="330">
        <f t="shared" si="5"/>
        <v>0</v>
      </c>
      <c r="P56" s="330">
        <f t="shared" si="5"/>
        <v>0</v>
      </c>
      <c r="Q56" s="330">
        <f t="shared" si="5"/>
        <v>-775072.07</v>
      </c>
      <c r="R56" s="330">
        <f t="shared" si="5"/>
        <v>-2862393.970000001</v>
      </c>
      <c r="S56" s="330">
        <f t="shared" si="5"/>
        <v>-575959.08</v>
      </c>
      <c r="T56" s="330">
        <f t="shared" si="5"/>
        <v>-541902.2000000001</v>
      </c>
      <c r="U56" s="330">
        <f t="shared" si="5"/>
        <v>-531704.88</v>
      </c>
      <c r="V56" s="330">
        <f t="shared" si="5"/>
        <v>0</v>
      </c>
      <c r="W56" s="330">
        <f t="shared" si="5"/>
        <v>0</v>
      </c>
      <c r="X56" s="330">
        <f t="shared" si="5"/>
        <v>6429181.829999999</v>
      </c>
      <c r="Y56" s="337">
        <f t="shared" si="5"/>
        <v>-1761679.52</v>
      </c>
      <c r="Z56" s="330">
        <f t="shared" si="5"/>
        <v>-95861.67999999996</v>
      </c>
      <c r="AA56" s="330">
        <f t="shared" si="5"/>
        <v>3808782.6000000006</v>
      </c>
      <c r="AB56" s="330">
        <f t="shared" si="5"/>
        <v>6157501.9</v>
      </c>
      <c r="AC56" s="330">
        <f t="shared" si="5"/>
        <v>0</v>
      </c>
      <c r="AD56" s="330">
        <f t="shared" si="5"/>
        <v>0</v>
      </c>
      <c r="AE56" s="330">
        <f t="shared" si="5"/>
        <v>837790.5100000016</v>
      </c>
      <c r="AF56" s="330">
        <f t="shared" si="5"/>
        <v>-22227011.2</v>
      </c>
      <c r="AG56" s="330">
        <f t="shared" si="5"/>
        <v>-3848895.7899999986</v>
      </c>
      <c r="AH56" s="330">
        <f t="shared" si="5"/>
        <v>-85126.80999999994</v>
      </c>
      <c r="AI56" s="330">
        <f t="shared" si="5"/>
        <v>6875344.130000001</v>
      </c>
      <c r="AJ56" s="330">
        <f t="shared" si="5"/>
        <v>0</v>
      </c>
      <c r="AK56" s="330">
        <f t="shared" si="5"/>
        <v>0</v>
      </c>
      <c r="AL56" s="274">
        <f t="shared" si="5"/>
        <v>487891448.47</v>
      </c>
      <c r="AM56" s="192"/>
      <c r="AN56" s="318">
        <f>SUM(AN3:AN55)</f>
        <v>495546375.34000003</v>
      </c>
      <c r="AO56" s="324">
        <f t="shared" si="1"/>
        <v>7654926.870000005</v>
      </c>
      <c r="AP56" s="193"/>
      <c r="AQ56" s="186">
        <f t="shared" si="2"/>
        <v>495546375.34000003</v>
      </c>
      <c r="AR56" s="151">
        <f t="shared" si="3"/>
        <v>0</v>
      </c>
    </row>
    <row r="57" spans="1:45" ht="23.25">
      <c r="A57" s="511" t="s">
        <v>145</v>
      </c>
      <c r="B57" s="512"/>
      <c r="C57" s="513"/>
      <c r="D57" s="298">
        <f>AO21+AO25+AO33+AO35+AO44+AO47+AO53</f>
        <v>7656823.999999974</v>
      </c>
      <c r="E57" s="299"/>
      <c r="F57" s="290"/>
      <c r="G57" s="333">
        <f>F56+G56</f>
        <v>488500548.0500001</v>
      </c>
      <c r="H57" s="330">
        <f aca="true" t="shared" si="6" ref="H57:V57">G57+H56</f>
        <v>488500548.0500001</v>
      </c>
      <c r="I57" s="330">
        <f t="shared" si="6"/>
        <v>488500548.0500001</v>
      </c>
      <c r="J57" s="330">
        <f t="shared" si="6"/>
        <v>488994449.58000004</v>
      </c>
      <c r="K57" s="330">
        <f t="shared" si="6"/>
        <v>498021255.67</v>
      </c>
      <c r="L57" s="330">
        <f t="shared" si="6"/>
        <v>497720521.82</v>
      </c>
      <c r="M57" s="337">
        <f t="shared" si="6"/>
        <v>497884539.02</v>
      </c>
      <c r="N57" s="330">
        <f t="shared" si="6"/>
        <v>497088460.7</v>
      </c>
      <c r="O57" s="330">
        <f t="shared" si="6"/>
        <v>497088460.7</v>
      </c>
      <c r="P57" s="330">
        <f t="shared" si="6"/>
        <v>497088460.7</v>
      </c>
      <c r="Q57" s="330">
        <f t="shared" si="6"/>
        <v>496313388.63</v>
      </c>
      <c r="R57" s="330">
        <f>Q58+R56</f>
        <v>493450988.65999997</v>
      </c>
      <c r="S57" s="330">
        <f t="shared" si="6"/>
        <v>492875029.58</v>
      </c>
      <c r="T57" s="330">
        <f t="shared" si="6"/>
        <v>492333127.38</v>
      </c>
      <c r="U57" s="330">
        <f t="shared" si="6"/>
        <v>491801422.5</v>
      </c>
      <c r="V57" s="330">
        <f t="shared" si="6"/>
        <v>491801422.5</v>
      </c>
      <c r="W57" s="330">
        <f>V57+W56</f>
        <v>491801422.5</v>
      </c>
      <c r="X57" s="330">
        <f>W57+X56</f>
        <v>498230604.33</v>
      </c>
      <c r="Y57" s="337">
        <f>X57+Y56</f>
        <v>496468924.81</v>
      </c>
      <c r="Z57" s="330">
        <f>Y57+Z56</f>
        <v>496373063.13</v>
      </c>
      <c r="AA57" s="330">
        <f aca="true" t="shared" si="7" ref="AA57:AK57">Z57+AA56</f>
        <v>500181845.73</v>
      </c>
      <c r="AB57" s="330">
        <f t="shared" si="7"/>
        <v>506339347.63</v>
      </c>
      <c r="AC57" s="330">
        <f t="shared" si="7"/>
        <v>506339347.63</v>
      </c>
      <c r="AD57" s="330">
        <f t="shared" si="7"/>
        <v>506339347.63</v>
      </c>
      <c r="AE57" s="330">
        <f>AD57+AE56</f>
        <v>507177138.14</v>
      </c>
      <c r="AF57" s="337">
        <f t="shared" si="7"/>
        <v>484950126.94</v>
      </c>
      <c r="AG57" s="330">
        <f t="shared" si="7"/>
        <v>481101231.15</v>
      </c>
      <c r="AH57" s="330">
        <f t="shared" si="7"/>
        <v>481016104.34</v>
      </c>
      <c r="AI57" s="330">
        <f t="shared" si="7"/>
        <v>487891448.46999997</v>
      </c>
      <c r="AJ57" s="330">
        <f t="shared" si="7"/>
        <v>487891448.46999997</v>
      </c>
      <c r="AK57" s="330">
        <f t="shared" si="7"/>
        <v>487891448.46999997</v>
      </c>
      <c r="AL57" s="275"/>
      <c r="AO57" s="325"/>
      <c r="AS57" s="128" t="s">
        <v>131</v>
      </c>
    </row>
    <row r="58" spans="1:45" ht="23.25">
      <c r="A58" s="514" t="s">
        <v>140</v>
      </c>
      <c r="B58" s="515"/>
      <c r="C58" s="516"/>
      <c r="D58" s="281">
        <v>0</v>
      </c>
      <c r="E58" s="300"/>
      <c r="F58" s="290"/>
      <c r="G58" s="334"/>
      <c r="I58" s="330"/>
      <c r="J58" s="330"/>
      <c r="Q58" s="329">
        <f>Q57-6</f>
        <v>496313382.63</v>
      </c>
      <c r="AS58" s="128" t="s">
        <v>132</v>
      </c>
    </row>
    <row r="59" spans="1:43" ht="23.25">
      <c r="A59" s="301"/>
      <c r="B59" s="282"/>
      <c r="C59" s="280" t="s">
        <v>138</v>
      </c>
      <c r="D59" s="283"/>
      <c r="E59" s="302">
        <f>D57+D58</f>
        <v>7656823.999999974</v>
      </c>
      <c r="F59" s="290"/>
      <c r="G59" s="334"/>
      <c r="AQ59" s="151">
        <f>D57+D61</f>
        <v>7654926.869999979</v>
      </c>
    </row>
    <row r="60" spans="1:38" ht="24" thickBot="1">
      <c r="A60" s="303"/>
      <c r="B60" s="282"/>
      <c r="C60" s="284"/>
      <c r="D60" s="285"/>
      <c r="E60" s="304"/>
      <c r="F60" s="290"/>
      <c r="G60" s="335"/>
      <c r="AL60" s="277"/>
    </row>
    <row r="61" spans="1:43" ht="24" thickBot="1">
      <c r="A61" s="517" t="s">
        <v>146</v>
      </c>
      <c r="B61" s="518"/>
      <c r="C61" s="519"/>
      <c r="D61" s="281">
        <f>E63</f>
        <v>-1897.1299999952316</v>
      </c>
      <c r="E61" s="304"/>
      <c r="F61" s="290" t="s">
        <v>144</v>
      </c>
      <c r="G61" s="335"/>
      <c r="AK61" s="336"/>
      <c r="AL61" s="278">
        <f>D57+E63</f>
        <v>7654926.869999979</v>
      </c>
      <c r="AM61" s="233"/>
      <c r="AQ61" s="151"/>
    </row>
    <row r="62" spans="1:43" ht="23.25">
      <c r="A62" s="301"/>
      <c r="B62" s="286"/>
      <c r="C62" s="287" t="s">
        <v>141</v>
      </c>
      <c r="D62" s="280"/>
      <c r="E62" s="305">
        <v>0</v>
      </c>
      <c r="F62" s="290"/>
      <c r="G62" s="335"/>
      <c r="AL62" s="279"/>
      <c r="AQ62" s="151">
        <f>AQ61+AN61</f>
        <v>0</v>
      </c>
    </row>
    <row r="63" spans="1:6" ht="23.25">
      <c r="A63" s="303"/>
      <c r="B63" s="282"/>
      <c r="C63" s="288" t="s">
        <v>139</v>
      </c>
      <c r="D63" s="289"/>
      <c r="E63" s="306">
        <f>AO36+AO37</f>
        <v>-1897.1299999952316</v>
      </c>
      <c r="F63" s="291"/>
    </row>
    <row r="64" spans="1:6" ht="24" thickBot="1">
      <c r="A64" s="307"/>
      <c r="B64" s="308"/>
      <c r="C64" s="308"/>
      <c r="D64" s="309"/>
      <c r="E64" s="310"/>
      <c r="F64" s="291"/>
    </row>
    <row r="65" spans="1:5" ht="23.25">
      <c r="A65" s="295"/>
      <c r="B65" s="261"/>
      <c r="C65" s="261"/>
      <c r="D65" s="296"/>
      <c r="E65" s="297"/>
    </row>
    <row r="66" ht="23.25">
      <c r="D66" s="203"/>
    </row>
    <row r="67" ht="23.25">
      <c r="D67" s="203"/>
    </row>
    <row r="68" ht="23.25">
      <c r="D68" s="203"/>
    </row>
    <row r="69" ht="23.25">
      <c r="D69" s="203"/>
    </row>
    <row r="70" ht="23.25">
      <c r="D70" s="203"/>
    </row>
    <row r="71" ht="23.25">
      <c r="D71" s="203"/>
    </row>
    <row r="72" ht="23.25">
      <c r="D72" s="203"/>
    </row>
    <row r="73" ht="23.25">
      <c r="D73" s="203"/>
    </row>
  </sheetData>
  <sheetProtection/>
  <mergeCells count="10">
    <mergeCell ref="F1:F2"/>
    <mergeCell ref="G1:AK1"/>
    <mergeCell ref="A57:C57"/>
    <mergeCell ref="A58:C58"/>
    <mergeCell ref="A61:C61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0.6692913385826772" right="0.15748031496062992" top="1.3385826771653544" bottom="0.8661417322834646" header="0.6692913385826772" footer="0.5905511811023623"/>
  <pageSetup horizontalDpi="600" verticalDpi="600" orientation="landscape" paperSize="9" r:id="rId3"/>
  <headerFooter alignWithMargins="0">
    <oddHeader xml:space="preserve">&amp;LZ_Bank&amp;C&amp;"TH SarabunPSK,Regular"&amp;16ประจำเดือนกันยายน 2560&amp;"Arial,Regular"&amp;10
&amp;R&amp;"TH SarabunPSK,Regular"&amp;16บช.10 WebOnline </oddHeader>
    <oddFooter>&amp;Cหน้าที่ &amp;P จาก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73"/>
  <sheetViews>
    <sheetView zoomScale="140" zoomScaleNormal="140" zoomScalePageLayoutView="0" workbookViewId="0" topLeftCell="D47">
      <selection activeCell="AN3" sqref="AN3:AN55"/>
    </sheetView>
  </sheetViews>
  <sheetFormatPr defaultColWidth="9.140625" defaultRowHeight="12.75"/>
  <cols>
    <col min="1" max="1" width="13.28125" style="369" bestFit="1" customWidth="1"/>
    <col min="2" max="2" width="14.140625" style="370" customWidth="1"/>
    <col min="3" max="3" width="32.7109375" style="370" customWidth="1"/>
    <col min="4" max="4" width="17.00390625" style="371" bestFit="1" customWidth="1"/>
    <col min="5" max="5" width="15.8515625" style="380" customWidth="1"/>
    <col min="6" max="6" width="18.421875" style="376" hidden="1" customWidth="1"/>
    <col min="7" max="7" width="15.7109375" style="373" hidden="1" customWidth="1"/>
    <col min="8" max="8" width="15.7109375" style="374" hidden="1" customWidth="1"/>
    <col min="9" max="9" width="15.7109375" style="373" hidden="1" customWidth="1"/>
    <col min="10" max="10" width="16.00390625" style="373" hidden="1" customWidth="1"/>
    <col min="11" max="13" width="15.7109375" style="373" hidden="1" customWidth="1"/>
    <col min="14" max="14" width="17.421875" style="373" hidden="1" customWidth="1"/>
    <col min="15" max="24" width="15.7109375" style="373" hidden="1" customWidth="1"/>
    <col min="25" max="25" width="15.7109375" style="375" hidden="1" customWidth="1"/>
    <col min="26" max="37" width="15.7109375" style="373" hidden="1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241336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>
      <c r="A3" s="349" t="s">
        <v>31</v>
      </c>
      <c r="B3" s="349" t="s">
        <v>41</v>
      </c>
      <c r="D3" s="355" t="s">
        <v>31</v>
      </c>
      <c r="E3" s="356"/>
      <c r="F3" s="357">
        <v>200827.93</v>
      </c>
      <c r="G3" s="358"/>
      <c r="H3" s="358">
        <f>-200827.93</f>
        <v>-200827.93</v>
      </c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>
      <c r="A4" s="360">
        <v>1101010101</v>
      </c>
      <c r="B4" s="361" t="s">
        <v>31</v>
      </c>
      <c r="C4" s="361"/>
      <c r="D4" s="362"/>
      <c r="E4" s="363"/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55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>
      <c r="A12" s="349" t="s">
        <v>72</v>
      </c>
      <c r="B12" s="349" t="s">
        <v>0</v>
      </c>
      <c r="D12" s="355"/>
      <c r="E12" s="356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>
      <c r="A13" s="369">
        <v>1101030101</v>
      </c>
      <c r="B13" s="370" t="s">
        <v>39</v>
      </c>
      <c r="D13" s="371">
        <v>9326000028</v>
      </c>
      <c r="E13" s="372" t="s">
        <v>4</v>
      </c>
      <c r="F13" s="370"/>
      <c r="AL13" s="345">
        <f t="shared" si="0"/>
        <v>0</v>
      </c>
    </row>
    <row r="14" spans="1:38" ht="21">
      <c r="A14" s="369">
        <v>1101030101</v>
      </c>
      <c r="B14" s="370" t="s">
        <v>2</v>
      </c>
      <c r="D14" s="371">
        <v>9326001040</v>
      </c>
      <c r="E14" s="372" t="s">
        <v>9</v>
      </c>
      <c r="F14" s="370"/>
      <c r="AL14" s="345">
        <f t="shared" si="0"/>
        <v>0</v>
      </c>
    </row>
    <row r="15" spans="1:38" ht="21">
      <c r="A15" s="369">
        <v>1101030101</v>
      </c>
      <c r="B15" s="370" t="s">
        <v>2</v>
      </c>
      <c r="D15" s="371">
        <v>9326005097</v>
      </c>
      <c r="E15" s="372" t="s">
        <v>10</v>
      </c>
      <c r="F15" s="370"/>
      <c r="AL15" s="345">
        <f t="shared" si="0"/>
        <v>0</v>
      </c>
    </row>
    <row r="16" spans="1:38" ht="21">
      <c r="A16" s="369">
        <v>1101030101</v>
      </c>
      <c r="B16" s="370" t="s">
        <v>2</v>
      </c>
      <c r="D16" s="371">
        <v>9326012476</v>
      </c>
      <c r="E16" s="372" t="s">
        <v>11</v>
      </c>
      <c r="F16" s="370"/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F17" s="370"/>
      <c r="AL17" s="345">
        <f t="shared" si="0"/>
        <v>0</v>
      </c>
    </row>
    <row r="18" spans="1:41" ht="21">
      <c r="A18" s="369">
        <v>1101030101</v>
      </c>
      <c r="D18" s="371">
        <v>9326016978</v>
      </c>
      <c r="E18" s="372" t="s">
        <v>142</v>
      </c>
      <c r="F18" s="376">
        <v>126300</v>
      </c>
      <c r="AL18" s="345">
        <f t="shared" si="0"/>
        <v>126300</v>
      </c>
      <c r="AN18" s="377">
        <v>126300</v>
      </c>
      <c r="AO18" s="381">
        <f>AN18-AL18</f>
        <v>0</v>
      </c>
    </row>
    <row r="19" spans="5:38" ht="21">
      <c r="E19" s="372"/>
      <c r="AL19" s="345">
        <f t="shared" si="0"/>
        <v>0</v>
      </c>
    </row>
    <row r="20" spans="1:42" s="387" customFormat="1" ht="21">
      <c r="A20" s="382" t="s">
        <v>12</v>
      </c>
      <c r="B20" s="382" t="s">
        <v>0</v>
      </c>
      <c r="C20" s="382"/>
      <c r="D20" s="383"/>
      <c r="E20" s="384"/>
      <c r="F20" s="385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385">
        <v>126951719.32</v>
      </c>
      <c r="H21" s="373">
        <f>-1212793.56+403618.93</f>
        <v>-809174.6300000001</v>
      </c>
      <c r="I21" s="373">
        <f>36434-321297.48-2047050.95+269058.36</f>
        <v>-2062856.0699999998</v>
      </c>
      <c r="J21" s="373">
        <f>149751-57397.34-30462.62+166581</f>
        <v>228472.04</v>
      </c>
      <c r="K21" s="373">
        <f>130985-216770.36-37694.39+188886+12170</f>
        <v>77576.25000000001</v>
      </c>
      <c r="L21" s="373">
        <f>-137181.29+1368482+139911.13</f>
        <v>1371211.8399999999</v>
      </c>
      <c r="O21" s="373">
        <f>150150-180456.82-875351+420341+10141</f>
        <v>-475175.82000000007</v>
      </c>
      <c r="P21" s="373">
        <f>200710-697279.96-3399157.46+221579+2288250.26-46950</f>
        <v>-1432848.1600000001</v>
      </c>
      <c r="Q21" s="373">
        <f>2670+105636+40000-1153560.54-34672.9+828294.03+205869</f>
        <v>-5764.410000000033</v>
      </c>
      <c r="R21" s="373">
        <f>467625+2996+13360-371198.13-4909796.05+231119</f>
        <v>-4565894.18</v>
      </c>
      <c r="V21" s="373">
        <f>-174306.4+537223.43</f>
        <v>362917.03</v>
      </c>
      <c r="W21" s="373">
        <f>3449.63-50523.36</f>
        <v>-47073.73</v>
      </c>
      <c r="X21" s="374">
        <f>15291125+109531</f>
        <v>15400656</v>
      </c>
      <c r="Y21" s="375">
        <f>13298157.48+248785.1+9250</f>
        <v>13556192.58</v>
      </c>
      <c r="Z21" s="373">
        <f>22198.4+150+224553.69+65280</f>
        <v>312182.08999999997</v>
      </c>
      <c r="AD21" s="373">
        <f>2525+633703+176463-8500000</f>
        <v>-7687309</v>
      </c>
      <c r="AE21" s="373">
        <f>-6+180097.17+23384</f>
        <v>203475.17</v>
      </c>
      <c r="AG21" s="373">
        <f>312190+284524+170760+876651-30+320211.25+33479</f>
        <v>1997785.25</v>
      </c>
      <c r="AJ21" s="373">
        <f>-242611.21-86295.89+295256.62</f>
        <v>-33650.47999999998</v>
      </c>
      <c r="AK21" s="373">
        <f>168344+3000</f>
        <v>171344</v>
      </c>
      <c r="AL21" s="345">
        <f t="shared" si="0"/>
        <v>143513785.09</v>
      </c>
      <c r="AN21" s="280">
        <v>119260789</v>
      </c>
      <c r="AO21" s="381">
        <f>AN21-AL21</f>
        <v>-24252996.090000004</v>
      </c>
      <c r="AP21" s="369" t="s">
        <v>92</v>
      </c>
      <c r="AQ21" s="357">
        <f>AL21+AO21</f>
        <v>119260789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376">
        <v>636095.24</v>
      </c>
      <c r="AL22" s="345">
        <f t="shared" si="0"/>
        <v>636095.24</v>
      </c>
      <c r="AN22" s="377">
        <v>636095.24</v>
      </c>
      <c r="AO22" s="381">
        <f aca="true" t="shared" si="1" ref="AO22:AO56">AN22-AL22</f>
        <v>0</v>
      </c>
      <c r="AQ22" s="357">
        <f aca="true" t="shared" si="2" ref="AQ22:AQ56">AL22+AO22</f>
        <v>636095.24</v>
      </c>
      <c r="AR22" s="357">
        <f aca="true" t="shared" si="3" ref="AR22:AR56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376">
        <v>12294.03</v>
      </c>
      <c r="AL23" s="345">
        <f t="shared" si="0"/>
        <v>12294.03</v>
      </c>
      <c r="AN23" s="377">
        <v>12294.03</v>
      </c>
      <c r="AO23" s="381">
        <f t="shared" si="1"/>
        <v>0</v>
      </c>
      <c r="AQ23" s="357">
        <f t="shared" si="2"/>
        <v>12294.03</v>
      </c>
      <c r="AR23" s="357">
        <f t="shared" si="3"/>
        <v>0</v>
      </c>
    </row>
    <row r="24" spans="1:44" ht="21">
      <c r="A24" s="369">
        <v>1101030102</v>
      </c>
      <c r="B24" s="370" t="s">
        <v>15</v>
      </c>
      <c r="C24" s="388" t="s">
        <v>52</v>
      </c>
      <c r="D24" s="371">
        <v>9092199648</v>
      </c>
      <c r="E24" s="372" t="s">
        <v>8</v>
      </c>
      <c r="F24" s="376">
        <v>174360.81</v>
      </c>
      <c r="AL24" s="345">
        <f t="shared" si="0"/>
        <v>174360.81</v>
      </c>
      <c r="AN24" s="377">
        <v>174360.81</v>
      </c>
      <c r="AO24" s="381">
        <f t="shared" si="1"/>
        <v>0</v>
      </c>
      <c r="AQ24" s="357">
        <f t="shared" si="2"/>
        <v>174360.81</v>
      </c>
      <c r="AR24" s="357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376">
        <v>797582.71</v>
      </c>
      <c r="K25" s="373">
        <f>-53000</f>
        <v>-53000</v>
      </c>
      <c r="P25" s="373">
        <f>-2529.27</f>
        <v>-2529.27</v>
      </c>
      <c r="AL25" s="345">
        <f t="shared" si="0"/>
        <v>742053.44</v>
      </c>
      <c r="AN25" s="377">
        <v>705557.74</v>
      </c>
      <c r="AO25" s="381">
        <f t="shared" si="1"/>
        <v>-36495.69999999995</v>
      </c>
      <c r="AP25" s="369" t="s">
        <v>92</v>
      </c>
      <c r="AQ25" s="357">
        <f t="shared" si="2"/>
        <v>705557.74</v>
      </c>
      <c r="AR25" s="357">
        <f t="shared" si="3"/>
        <v>0</v>
      </c>
    </row>
    <row r="26" spans="1:44" ht="21">
      <c r="A26" s="369">
        <v>1101030102</v>
      </c>
      <c r="B26" s="370" t="s">
        <v>2</v>
      </c>
      <c r="C26" s="388" t="s">
        <v>53</v>
      </c>
      <c r="D26" s="371">
        <v>9321151400</v>
      </c>
      <c r="E26" s="372" t="s">
        <v>17</v>
      </c>
      <c r="F26" s="376">
        <v>15793.57</v>
      </c>
      <c r="AL26" s="345">
        <f t="shared" si="0"/>
        <v>15793.57</v>
      </c>
      <c r="AN26" s="377">
        <v>15793.57</v>
      </c>
      <c r="AO26" s="381">
        <f t="shared" si="1"/>
        <v>0</v>
      </c>
      <c r="AQ26" s="357">
        <f t="shared" si="2"/>
        <v>15793.57</v>
      </c>
      <c r="AR26" s="357">
        <f t="shared" si="3"/>
        <v>0</v>
      </c>
    </row>
    <row r="27" spans="1:44" ht="21">
      <c r="A27" s="369">
        <v>1101030102</v>
      </c>
      <c r="B27" s="370" t="s">
        <v>2</v>
      </c>
      <c r="C27" s="388" t="s">
        <v>54</v>
      </c>
      <c r="D27" s="371">
        <v>9321484736</v>
      </c>
      <c r="E27" s="372" t="s">
        <v>19</v>
      </c>
      <c r="AL27" s="345">
        <f t="shared" si="0"/>
        <v>0</v>
      </c>
      <c r="AO27" s="381">
        <f t="shared" si="1"/>
        <v>0</v>
      </c>
      <c r="AQ27" s="357">
        <f t="shared" si="2"/>
        <v>0</v>
      </c>
      <c r="AR27" s="357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376">
        <v>41917.54</v>
      </c>
      <c r="AL28" s="345">
        <f t="shared" si="0"/>
        <v>41917.54</v>
      </c>
      <c r="AN28" s="377">
        <v>41917.54</v>
      </c>
      <c r="AO28" s="381">
        <f t="shared" si="1"/>
        <v>0</v>
      </c>
      <c r="AQ28" s="357">
        <f t="shared" si="2"/>
        <v>41917.54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376">
        <v>3913.86</v>
      </c>
      <c r="AL29" s="345">
        <f t="shared" si="0"/>
        <v>3913.86</v>
      </c>
      <c r="AN29" s="377">
        <v>3913.86</v>
      </c>
      <c r="AO29" s="381">
        <f t="shared" si="1"/>
        <v>0</v>
      </c>
      <c r="AQ29" s="357">
        <f t="shared" si="2"/>
        <v>3913.86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376">
        <v>4387.09</v>
      </c>
      <c r="AL30" s="345">
        <f t="shared" si="0"/>
        <v>4387.09</v>
      </c>
      <c r="AN30" s="377">
        <v>4387.09</v>
      </c>
      <c r="AO30" s="381">
        <f t="shared" si="1"/>
        <v>0</v>
      </c>
      <c r="AQ30" s="357">
        <f t="shared" si="2"/>
        <v>4387.09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376">
        <v>101071.68</v>
      </c>
      <c r="AL31" s="345">
        <f t="shared" si="0"/>
        <v>101071.68</v>
      </c>
      <c r="AN31" s="377">
        <v>101071.68</v>
      </c>
      <c r="AO31" s="381">
        <f t="shared" si="1"/>
        <v>0</v>
      </c>
      <c r="AQ31" s="357">
        <f t="shared" si="2"/>
        <v>101071.68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396"/>
      <c r="G32" s="397"/>
      <c r="H32" s="398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00"/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376">
        <v>7290230.39</v>
      </c>
      <c r="P33" s="373">
        <f>-202375.69</f>
        <v>-202375.69</v>
      </c>
      <c r="AL33" s="345">
        <f t="shared" si="0"/>
        <v>7087854.699999999</v>
      </c>
      <c r="AN33" s="377">
        <v>10529200.78</v>
      </c>
      <c r="AO33" s="381">
        <f t="shared" si="1"/>
        <v>3441346.08</v>
      </c>
      <c r="AP33" s="369" t="s">
        <v>93</v>
      </c>
      <c r="AQ33" s="357">
        <f t="shared" si="2"/>
        <v>10529200.78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396"/>
      <c r="G34" s="397"/>
      <c r="H34" s="398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00"/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376">
        <v>122347510.3</v>
      </c>
      <c r="H35" s="373"/>
      <c r="O35" s="373">
        <f>-12000</f>
        <v>-12000</v>
      </c>
      <c r="P35" s="373">
        <f>-810184.33-4478.92</f>
        <v>-814663.25</v>
      </c>
      <c r="Q35" s="373">
        <f>7000-2428275.49-8712</f>
        <v>-2429987.49</v>
      </c>
      <c r="R35" s="373">
        <f>134720-59400</f>
        <v>75320</v>
      </c>
      <c r="V35" s="373">
        <f>51850</f>
        <v>51850</v>
      </c>
      <c r="W35" s="373">
        <f>117000+3640</f>
        <v>120640</v>
      </c>
      <c r="Y35" s="375">
        <f>-13298157.48</f>
        <v>-13298157.48</v>
      </c>
      <c r="AJ35" s="373">
        <f>-87570</f>
        <v>-87570</v>
      </c>
      <c r="AL35" s="404">
        <f t="shared" si="0"/>
        <v>105952942.08</v>
      </c>
      <c r="AN35" s="377">
        <v>136933969.84</v>
      </c>
      <c r="AO35" s="405">
        <f t="shared" si="1"/>
        <v>30981027.760000005</v>
      </c>
      <c r="AP35" s="369" t="s">
        <v>93</v>
      </c>
      <c r="AQ35" s="357">
        <f t="shared" si="2"/>
        <v>136933969.84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376">
        <v>15982753.18</v>
      </c>
      <c r="H36" s="374">
        <f>-26818</f>
        <v>-26818</v>
      </c>
      <c r="I36" s="373">
        <f>-248374.15</f>
        <v>-248374.15</v>
      </c>
      <c r="K36" s="373">
        <f>-21600</f>
        <v>-21600</v>
      </c>
      <c r="L36" s="373">
        <f>-96368.8+3089.98</f>
        <v>-93278.82</v>
      </c>
      <c r="O36" s="373">
        <v>3100</v>
      </c>
      <c r="P36" s="373">
        <f>-726.1</f>
        <v>-726.1</v>
      </c>
      <c r="AL36" s="345">
        <f t="shared" si="0"/>
        <v>15595056.11</v>
      </c>
      <c r="AN36" s="377">
        <v>14907198</v>
      </c>
      <c r="AO36" s="381">
        <f t="shared" si="1"/>
        <v>-687858.1099999994</v>
      </c>
      <c r="AP36" s="369" t="s">
        <v>92</v>
      </c>
      <c r="AQ36" s="357">
        <f t="shared" si="2"/>
        <v>14907198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376">
        <v>46440682.78</v>
      </c>
      <c r="AL37" s="345">
        <f t="shared" si="0"/>
        <v>46440682.78</v>
      </c>
      <c r="AN37" s="377">
        <v>44069773.55</v>
      </c>
      <c r="AO37" s="381">
        <f t="shared" si="1"/>
        <v>-2370909.230000004</v>
      </c>
      <c r="AP37" s="369" t="s">
        <v>92</v>
      </c>
      <c r="AQ37" s="357">
        <f t="shared" si="2"/>
        <v>44069773.55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376">
        <v>13517643</v>
      </c>
      <c r="P38" s="373">
        <f>-110000</f>
        <v>-110000</v>
      </c>
      <c r="AL38" s="345">
        <f t="shared" si="0"/>
        <v>13407643</v>
      </c>
      <c r="AN38" s="377">
        <v>13407643</v>
      </c>
      <c r="AO38" s="381">
        <f t="shared" si="1"/>
        <v>0</v>
      </c>
      <c r="AQ38" s="357">
        <f t="shared" si="2"/>
        <v>13407643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376">
        <v>10749819.98</v>
      </c>
      <c r="AL39" s="345">
        <f t="shared" si="0"/>
        <v>10749819.98</v>
      </c>
      <c r="AN39" s="377">
        <v>10825819.98</v>
      </c>
      <c r="AO39" s="381">
        <f t="shared" si="1"/>
        <v>76000</v>
      </c>
      <c r="AP39" s="369" t="s">
        <v>93</v>
      </c>
      <c r="AQ39" s="357">
        <f t="shared" si="2"/>
        <v>10825819.98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376">
        <v>6918487.97</v>
      </c>
      <c r="I40" s="373">
        <f>33965</f>
        <v>33965</v>
      </c>
      <c r="K40" s="373">
        <f>-5745.79</f>
        <v>-5745.79</v>
      </c>
      <c r="L40" s="373">
        <f>5165</f>
        <v>5165</v>
      </c>
      <c r="P40" s="373">
        <f>-760+1965+46950-2288250.26</f>
        <v>-2240095.26</v>
      </c>
      <c r="Q40" s="373">
        <f>2200</f>
        <v>2200</v>
      </c>
      <c r="R40" s="373">
        <f>5865</f>
        <v>5865</v>
      </c>
      <c r="V40" s="373">
        <v>1965</v>
      </c>
      <c r="W40" s="373">
        <f>3656</f>
        <v>3656</v>
      </c>
      <c r="Z40" s="373">
        <f>3200</f>
        <v>3200</v>
      </c>
      <c r="AE40" s="373">
        <f>3200</f>
        <v>3200</v>
      </c>
      <c r="AJ40" s="373">
        <f>1600</f>
        <v>1600</v>
      </c>
      <c r="AL40" s="345">
        <f t="shared" si="0"/>
        <v>4733462.92</v>
      </c>
      <c r="AN40" s="377">
        <v>6136494.11</v>
      </c>
      <c r="AO40" s="381">
        <f t="shared" si="1"/>
        <v>1403031.1900000004</v>
      </c>
      <c r="AP40" s="369" t="s">
        <v>93</v>
      </c>
      <c r="AQ40" s="357">
        <f t="shared" si="2"/>
        <v>6136494.11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376">
        <v>571143.55</v>
      </c>
      <c r="AJ41" s="373" t="s">
        <v>98</v>
      </c>
      <c r="AL41" s="345">
        <f t="shared" si="0"/>
        <v>571143.55</v>
      </c>
      <c r="AN41" s="377">
        <v>571143.55</v>
      </c>
      <c r="AO41" s="381">
        <f t="shared" si="1"/>
        <v>0</v>
      </c>
      <c r="AQ41" s="357">
        <f t="shared" si="2"/>
        <v>571143.55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AL42" s="345">
        <f t="shared" si="0"/>
        <v>0</v>
      </c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376">
        <v>1775346.74</v>
      </c>
      <c r="AL43" s="345">
        <f t="shared" si="0"/>
        <v>1775346.74</v>
      </c>
      <c r="AN43" s="377">
        <v>1772518.74</v>
      </c>
      <c r="AO43" s="381">
        <f t="shared" si="1"/>
        <v>-2828</v>
      </c>
      <c r="AP43" s="369" t="s">
        <v>92</v>
      </c>
      <c r="AQ43" s="357">
        <f t="shared" si="2"/>
        <v>1772518.74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376">
        <v>26388.71</v>
      </c>
      <c r="AJ44" s="373">
        <v>78460</v>
      </c>
      <c r="AL44" s="345">
        <f t="shared" si="0"/>
        <v>104848.70999999999</v>
      </c>
      <c r="AN44" s="377">
        <v>104848.71</v>
      </c>
      <c r="AO44" s="381">
        <f t="shared" si="1"/>
        <v>0</v>
      </c>
      <c r="AQ44" s="357">
        <f t="shared" si="2"/>
        <v>104848.70999999999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376">
        <v>379138.02</v>
      </c>
      <c r="AL45" s="345">
        <f t="shared" si="0"/>
        <v>379138.02</v>
      </c>
      <c r="AN45" s="377">
        <v>379138.02</v>
      </c>
      <c r="AO45" s="381">
        <f t="shared" si="1"/>
        <v>0</v>
      </c>
      <c r="AQ45" s="357">
        <f t="shared" si="2"/>
        <v>379138.02</v>
      </c>
      <c r="AR45" s="357">
        <f t="shared" si="3"/>
        <v>0</v>
      </c>
    </row>
    <row r="46" spans="1:44" ht="21">
      <c r="A46" s="369">
        <v>1101030102</v>
      </c>
      <c r="B46" s="370" t="s">
        <v>13</v>
      </c>
      <c r="C46" s="388" t="s">
        <v>68</v>
      </c>
      <c r="D46" s="371">
        <v>5081084530</v>
      </c>
      <c r="E46" s="372" t="s">
        <v>84</v>
      </c>
      <c r="F46" s="376">
        <v>123420.31</v>
      </c>
      <c r="AL46" s="345">
        <f t="shared" si="0"/>
        <v>123420.31</v>
      </c>
      <c r="AN46" s="377">
        <v>123420.31</v>
      </c>
      <c r="AO46" s="381">
        <f t="shared" si="1"/>
        <v>0</v>
      </c>
      <c r="AQ46" s="357">
        <f t="shared" si="2"/>
        <v>123420.31</v>
      </c>
      <c r="AR46" s="357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376">
        <v>23539426.75</v>
      </c>
      <c r="P47" s="373">
        <f>-5607.48</f>
        <v>-5607.48</v>
      </c>
      <c r="AL47" s="345">
        <f t="shared" si="0"/>
        <v>23533819.27</v>
      </c>
      <c r="AN47" s="377">
        <v>23316865.99</v>
      </c>
      <c r="AO47" s="381">
        <f t="shared" si="1"/>
        <v>-216953.2800000012</v>
      </c>
      <c r="AP47" s="369" t="s">
        <v>92</v>
      </c>
      <c r="AQ47" s="357">
        <f t="shared" si="2"/>
        <v>23316865.99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376">
        <v>84703.91</v>
      </c>
      <c r="AL48" s="345">
        <f t="shared" si="0"/>
        <v>84703.91</v>
      </c>
      <c r="AN48" s="377">
        <v>84703.91</v>
      </c>
      <c r="AO48" s="381">
        <f t="shared" si="1"/>
        <v>0</v>
      </c>
      <c r="AQ48" s="357">
        <f t="shared" si="2"/>
        <v>84703.91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376">
        <v>6818941.34</v>
      </c>
      <c r="AL49" s="345">
        <f t="shared" si="0"/>
        <v>6818941.34</v>
      </c>
      <c r="AN49" s="377">
        <v>6818941.34</v>
      </c>
      <c r="AO49" s="381">
        <f t="shared" si="1"/>
        <v>0</v>
      </c>
      <c r="AQ49" s="357">
        <f t="shared" si="2"/>
        <v>6818941.34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376">
        <v>19093700.39</v>
      </c>
      <c r="H50" s="374">
        <f>2000</f>
        <v>2000</v>
      </c>
      <c r="P50" s="373">
        <f>10000</f>
        <v>10000</v>
      </c>
      <c r="R50" s="373">
        <f>100000</f>
        <v>100000</v>
      </c>
      <c r="AD50" s="373">
        <v>100000</v>
      </c>
      <c r="AE50" s="373">
        <f>2000</f>
        <v>2000</v>
      </c>
      <c r="AG50" s="373">
        <f>100000</f>
        <v>100000</v>
      </c>
      <c r="AK50" s="373">
        <v>10000</v>
      </c>
      <c r="AL50" s="345">
        <f t="shared" si="0"/>
        <v>19417700.39</v>
      </c>
      <c r="AN50" s="377">
        <v>19429700.39</v>
      </c>
      <c r="AO50" s="381">
        <f t="shared" si="1"/>
        <v>12000</v>
      </c>
      <c r="AP50" s="369" t="s">
        <v>93</v>
      </c>
      <c r="AQ50" s="357">
        <f t="shared" si="2"/>
        <v>19429700.39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376">
        <v>48821265.7</v>
      </c>
      <c r="AL51" s="345">
        <f t="shared" si="0"/>
        <v>48821265.7</v>
      </c>
      <c r="AN51" s="377">
        <v>48821265.7</v>
      </c>
      <c r="AO51" s="381">
        <f t="shared" si="1"/>
        <v>0</v>
      </c>
      <c r="AQ51" s="357">
        <f t="shared" si="2"/>
        <v>48821265.7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376">
        <v>7183.11</v>
      </c>
      <c r="AL52" s="345">
        <f t="shared" si="0"/>
        <v>7183.11</v>
      </c>
      <c r="AN52" s="377">
        <v>7183.11</v>
      </c>
      <c r="AO52" s="381">
        <f t="shared" si="1"/>
        <v>0</v>
      </c>
      <c r="AQ52" s="357">
        <f t="shared" si="2"/>
        <v>7183.11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376">
        <v>1774104.31</v>
      </c>
      <c r="AL53" s="345">
        <f t="shared" si="0"/>
        <v>1774104.31</v>
      </c>
      <c r="AN53" s="377">
        <v>1814789.24</v>
      </c>
      <c r="AO53" s="381">
        <f t="shared" si="1"/>
        <v>40684.929999999935</v>
      </c>
      <c r="AP53" s="369" t="s">
        <v>93</v>
      </c>
      <c r="AQ53" s="357">
        <f t="shared" si="2"/>
        <v>1814789.24</v>
      </c>
      <c r="AR53" s="357">
        <f t="shared" si="3"/>
        <v>0</v>
      </c>
    </row>
    <row r="54" spans="1:44" ht="21">
      <c r="A54" s="382" t="s">
        <v>113</v>
      </c>
      <c r="B54" s="370" t="s">
        <v>114</v>
      </c>
      <c r="C54" s="388" t="s">
        <v>115</v>
      </c>
      <c r="D54" s="408">
        <v>65210028561</v>
      </c>
      <c r="E54" s="409" t="s">
        <v>116</v>
      </c>
      <c r="F54" s="376">
        <v>30000000</v>
      </c>
      <c r="AL54" s="345">
        <f t="shared" si="0"/>
        <v>30000000</v>
      </c>
      <c r="AN54" s="377">
        <v>30000000</v>
      </c>
      <c r="AO54" s="381">
        <f t="shared" si="1"/>
        <v>0</v>
      </c>
      <c r="AQ54" s="357">
        <f t="shared" si="2"/>
        <v>30000000</v>
      </c>
      <c r="AR54" s="357">
        <f t="shared" si="3"/>
        <v>0</v>
      </c>
    </row>
    <row r="55" spans="1:44" ht="21">
      <c r="A55" s="382" t="s">
        <v>113</v>
      </c>
      <c r="B55" s="370" t="s">
        <v>118</v>
      </c>
      <c r="C55" s="388" t="s">
        <v>62</v>
      </c>
      <c r="D55" s="408">
        <v>300020091397</v>
      </c>
      <c r="E55" s="409" t="s">
        <v>117</v>
      </c>
      <c r="F55" s="412">
        <v>10419049.05</v>
      </c>
      <c r="AL55" s="413">
        <f t="shared" si="0"/>
        <v>10419049.05</v>
      </c>
      <c r="AM55" s="412"/>
      <c r="AN55" s="414">
        <v>10419049.05</v>
      </c>
      <c r="AO55" s="415">
        <f t="shared" si="1"/>
        <v>0</v>
      </c>
      <c r="AP55" s="416"/>
      <c r="AQ55" s="357">
        <f t="shared" si="2"/>
        <v>10419049.05</v>
      </c>
      <c r="AR55" s="357">
        <f t="shared" si="3"/>
        <v>0</v>
      </c>
    </row>
    <row r="56" spans="1:44" ht="21.75" thickBot="1">
      <c r="A56" s="416"/>
      <c r="B56" s="417"/>
      <c r="C56" s="418"/>
      <c r="D56" s="419"/>
      <c r="E56" s="420"/>
      <c r="F56" s="157">
        <f>SUM(F3:F55)</f>
        <v>495747203.27</v>
      </c>
      <c r="G56" s="374">
        <f aca="true" t="shared" si="4" ref="G56:AL56">SUM(G3:G55)</f>
        <v>0</v>
      </c>
      <c r="H56" s="421">
        <f t="shared" si="4"/>
        <v>-1034820.56</v>
      </c>
      <c r="I56" s="421">
        <f t="shared" si="4"/>
        <v>-2277265.2199999997</v>
      </c>
      <c r="J56" s="421">
        <f t="shared" si="4"/>
        <v>228472.04</v>
      </c>
      <c r="K56" s="421">
        <f t="shared" si="4"/>
        <v>-2769.5399999999854</v>
      </c>
      <c r="L56" s="421">
        <f t="shared" si="4"/>
        <v>1283098.0199999998</v>
      </c>
      <c r="M56" s="421">
        <f t="shared" si="4"/>
        <v>0</v>
      </c>
      <c r="N56" s="421">
        <f t="shared" si="4"/>
        <v>0</v>
      </c>
      <c r="O56" s="421">
        <f t="shared" si="4"/>
        <v>-484075.82000000007</v>
      </c>
      <c r="P56" s="421">
        <f t="shared" si="4"/>
        <v>-4798845.210000001</v>
      </c>
      <c r="Q56" s="421">
        <f t="shared" si="4"/>
        <v>-2433551.9000000004</v>
      </c>
      <c r="R56" s="421">
        <f t="shared" si="4"/>
        <v>-4384709.18</v>
      </c>
      <c r="S56" s="421">
        <f t="shared" si="4"/>
        <v>0</v>
      </c>
      <c r="T56" s="421">
        <f t="shared" si="4"/>
        <v>0</v>
      </c>
      <c r="U56" s="421">
        <f t="shared" si="4"/>
        <v>0</v>
      </c>
      <c r="V56" s="421">
        <f t="shared" si="4"/>
        <v>416732.03</v>
      </c>
      <c r="W56" s="421">
        <f t="shared" si="4"/>
        <v>77222.26999999999</v>
      </c>
      <c r="X56" s="421">
        <f t="shared" si="4"/>
        <v>15400656</v>
      </c>
      <c r="Y56" s="422">
        <f t="shared" si="4"/>
        <v>258035.09999999963</v>
      </c>
      <c r="Z56" s="421">
        <f t="shared" si="4"/>
        <v>315382.08999999997</v>
      </c>
      <c r="AA56" s="421">
        <f t="shared" si="4"/>
        <v>0</v>
      </c>
      <c r="AB56" s="421">
        <f t="shared" si="4"/>
        <v>0</v>
      </c>
      <c r="AC56" s="421">
        <f t="shared" si="4"/>
        <v>0</v>
      </c>
      <c r="AD56" s="421">
        <f t="shared" si="4"/>
        <v>-7587309</v>
      </c>
      <c r="AE56" s="421">
        <f t="shared" si="4"/>
        <v>208675.17</v>
      </c>
      <c r="AF56" s="421">
        <f t="shared" si="4"/>
        <v>0</v>
      </c>
      <c r="AG56" s="421">
        <f t="shared" si="4"/>
        <v>2097785.25</v>
      </c>
      <c r="AH56" s="421">
        <f t="shared" si="4"/>
        <v>0</v>
      </c>
      <c r="AI56" s="421">
        <f t="shared" si="4"/>
        <v>0</v>
      </c>
      <c r="AJ56" s="421">
        <f t="shared" si="4"/>
        <v>-41160.47999999998</v>
      </c>
      <c r="AK56" s="421">
        <f t="shared" si="4"/>
        <v>181344</v>
      </c>
      <c r="AL56" s="423">
        <f t="shared" si="4"/>
        <v>493170098.33</v>
      </c>
      <c r="AM56" s="424"/>
      <c r="AN56" s="425">
        <f>SUM(AN3:AN55)</f>
        <v>501556147.88000005</v>
      </c>
      <c r="AO56" s="426">
        <f t="shared" si="1"/>
        <v>8386049.5500000715</v>
      </c>
      <c r="AP56" s="427"/>
      <c r="AQ56" s="428">
        <f t="shared" si="2"/>
        <v>501556147.88000005</v>
      </c>
      <c r="AR56" s="357">
        <f t="shared" si="3"/>
        <v>0</v>
      </c>
    </row>
    <row r="57" spans="1:45" s="438" customFormat="1" ht="21">
      <c r="A57" s="511" t="s">
        <v>145</v>
      </c>
      <c r="B57" s="512"/>
      <c r="C57" s="513"/>
      <c r="D57" s="429">
        <f>AO33+AO35+AO39+AO40+AO50+AO53</f>
        <v>35954089.96</v>
      </c>
      <c r="E57" s="430"/>
      <c r="F57" s="431"/>
      <c r="G57" s="432">
        <f>F56+G56</f>
        <v>495747203.27</v>
      </c>
      <c r="H57" s="433">
        <f aca="true" t="shared" si="5" ref="H57:Q57">G57+H56</f>
        <v>494712382.71</v>
      </c>
      <c r="I57" s="433">
        <f t="shared" si="5"/>
        <v>492435117.48999995</v>
      </c>
      <c r="J57" s="433">
        <f t="shared" si="5"/>
        <v>492663589.53</v>
      </c>
      <c r="K57" s="433">
        <f t="shared" si="5"/>
        <v>492660819.98999995</v>
      </c>
      <c r="L57" s="433">
        <f t="shared" si="5"/>
        <v>493943918.00999993</v>
      </c>
      <c r="M57" s="433">
        <f t="shared" si="5"/>
        <v>493943918.00999993</v>
      </c>
      <c r="N57" s="433">
        <f t="shared" si="5"/>
        <v>493943918.00999993</v>
      </c>
      <c r="O57" s="433">
        <f t="shared" si="5"/>
        <v>493459842.18999994</v>
      </c>
      <c r="P57" s="433">
        <f t="shared" si="5"/>
        <v>488660996.97999996</v>
      </c>
      <c r="Q57" s="433">
        <f t="shared" si="5"/>
        <v>486227445.08</v>
      </c>
      <c r="R57" s="433">
        <f aca="true" t="shared" si="6" ref="R57:Z57">Q57+R56</f>
        <v>481842735.9</v>
      </c>
      <c r="S57" s="433">
        <f t="shared" si="6"/>
        <v>481842735.9</v>
      </c>
      <c r="T57" s="433">
        <f t="shared" si="6"/>
        <v>481842735.9</v>
      </c>
      <c r="U57" s="433">
        <f t="shared" si="6"/>
        <v>481842735.9</v>
      </c>
      <c r="V57" s="433">
        <f t="shared" si="6"/>
        <v>482259467.92999995</v>
      </c>
      <c r="W57" s="433">
        <f t="shared" si="6"/>
        <v>482336690.1999999</v>
      </c>
      <c r="X57" s="433">
        <f t="shared" si="6"/>
        <v>497737346.1999999</v>
      </c>
      <c r="Y57" s="433">
        <f t="shared" si="6"/>
        <v>497995381.29999995</v>
      </c>
      <c r="Z57" s="433">
        <f t="shared" si="6"/>
        <v>498310763.3899999</v>
      </c>
      <c r="AA57" s="433">
        <f aca="true" t="shared" si="7" ref="AA57:AK57">Z57+AA56</f>
        <v>498310763.3899999</v>
      </c>
      <c r="AB57" s="433">
        <f t="shared" si="7"/>
        <v>498310763.3899999</v>
      </c>
      <c r="AC57" s="433">
        <f t="shared" si="7"/>
        <v>498310763.3899999</v>
      </c>
      <c r="AD57" s="433">
        <f t="shared" si="7"/>
        <v>490723454.3899999</v>
      </c>
      <c r="AE57" s="433">
        <f>AD57+AE56</f>
        <v>490932129.55999994</v>
      </c>
      <c r="AF57" s="433">
        <f t="shared" si="7"/>
        <v>490932129.55999994</v>
      </c>
      <c r="AG57" s="433">
        <f t="shared" si="7"/>
        <v>493029914.80999994</v>
      </c>
      <c r="AH57" s="433">
        <f t="shared" si="7"/>
        <v>493029914.80999994</v>
      </c>
      <c r="AI57" s="433">
        <f t="shared" si="7"/>
        <v>493029914.80999994</v>
      </c>
      <c r="AJ57" s="433">
        <f t="shared" si="7"/>
        <v>492988754.3299999</v>
      </c>
      <c r="AK57" s="433">
        <f t="shared" si="7"/>
        <v>493170098.3299999</v>
      </c>
      <c r="AL57" s="433"/>
      <c r="AM57" s="434"/>
      <c r="AN57" s="435"/>
      <c r="AO57" s="436"/>
      <c r="AP57" s="437"/>
      <c r="AS57" s="434" t="s">
        <v>131</v>
      </c>
    </row>
    <row r="58" spans="1:45" ht="21">
      <c r="A58" s="514" t="s">
        <v>140</v>
      </c>
      <c r="B58" s="515"/>
      <c r="C58" s="516"/>
      <c r="D58" s="281">
        <v>0</v>
      </c>
      <c r="E58" s="300"/>
      <c r="F58" s="290"/>
      <c r="G58" s="439"/>
      <c r="I58" s="374"/>
      <c r="J58" s="374"/>
      <c r="AS58" s="376" t="s">
        <v>132</v>
      </c>
    </row>
    <row r="59" spans="1:43" ht="21">
      <c r="A59" s="301"/>
      <c r="B59" s="282"/>
      <c r="C59" s="280" t="s">
        <v>138</v>
      </c>
      <c r="D59" s="283"/>
      <c r="E59" s="302">
        <f>D57+D58</f>
        <v>35954089.96</v>
      </c>
      <c r="F59" s="290"/>
      <c r="G59" s="439"/>
      <c r="AQ59" s="357">
        <f>D57+D61</f>
        <v>8386049.549999993</v>
      </c>
    </row>
    <row r="60" spans="1:38" ht="21.75" thickBot="1">
      <c r="A60" s="303"/>
      <c r="B60" s="282"/>
      <c r="C60" s="284"/>
      <c r="D60" s="285"/>
      <c r="E60" s="304"/>
      <c r="F60" s="290"/>
      <c r="G60" s="441"/>
      <c r="AL60" s="442"/>
    </row>
    <row r="61" spans="1:43" ht="21.75" thickBot="1">
      <c r="A61" s="517" t="s">
        <v>146</v>
      </c>
      <c r="B61" s="518"/>
      <c r="C61" s="519"/>
      <c r="D61" s="281">
        <f>E63</f>
        <v>-27568040.410000008</v>
      </c>
      <c r="E61" s="304"/>
      <c r="F61" s="290" t="s">
        <v>144</v>
      </c>
      <c r="G61" s="441"/>
      <c r="AK61" s="443"/>
      <c r="AL61" s="444">
        <f>D57+E63</f>
        <v>8386049.549999993</v>
      </c>
      <c r="AM61" s="291"/>
      <c r="AQ61" s="357"/>
    </row>
    <row r="62" spans="1:43" ht="21">
      <c r="A62" s="301"/>
      <c r="B62" s="286"/>
      <c r="C62" s="287" t="s">
        <v>141</v>
      </c>
      <c r="D62" s="280"/>
      <c r="E62" s="305">
        <v>0</v>
      </c>
      <c r="F62" s="290"/>
      <c r="G62" s="441"/>
      <c r="AL62" s="445"/>
      <c r="AQ62" s="357">
        <f>AQ61+AN61</f>
        <v>0</v>
      </c>
    </row>
    <row r="63" spans="1:6" ht="21">
      <c r="A63" s="303"/>
      <c r="B63" s="282"/>
      <c r="C63" s="288" t="s">
        <v>139</v>
      </c>
      <c r="D63" s="289"/>
      <c r="E63" s="306">
        <f>AO21+AO25+AO36+AO37+AO43+AO47</f>
        <v>-27568040.410000008</v>
      </c>
      <c r="F63" s="291"/>
    </row>
    <row r="64" spans="1:6" ht="21.75" thickBot="1">
      <c r="A64" s="307"/>
      <c r="B64" s="308"/>
      <c r="C64" s="308"/>
      <c r="D64" s="309"/>
      <c r="E64" s="310"/>
      <c r="F64" s="291"/>
    </row>
    <row r="65" spans="1:5" ht="21">
      <c r="A65" s="446"/>
      <c r="B65" s="447"/>
      <c r="C65" s="447"/>
      <c r="D65" s="448"/>
      <c r="E65" s="449"/>
    </row>
    <row r="66" ht="21">
      <c r="D66" s="450"/>
    </row>
    <row r="67" ht="21">
      <c r="D67" s="450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</sheetData>
  <sheetProtection/>
  <mergeCells count="10">
    <mergeCell ref="F1:F2"/>
    <mergeCell ref="G1:AK1"/>
    <mergeCell ref="A57:C57"/>
    <mergeCell ref="A58:C58"/>
    <mergeCell ref="A61:C61"/>
    <mergeCell ref="A1:A2"/>
    <mergeCell ref="B1:B2"/>
    <mergeCell ref="C1:C2"/>
    <mergeCell ref="D1:D2"/>
    <mergeCell ref="E1:E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0.7874015748031497" right="0.35433070866141736" top="0.9055118110236221" bottom="0.8661417322834646" header="0.1968503937007874" footer="0.15748031496062992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73"/>
  <sheetViews>
    <sheetView zoomScale="130" zoomScaleNormal="130" zoomScalePageLayoutView="0" workbookViewId="0" topLeftCell="AJ51">
      <selection activeCell="AN56" sqref="AN56"/>
    </sheetView>
  </sheetViews>
  <sheetFormatPr defaultColWidth="9.140625" defaultRowHeight="12.75"/>
  <cols>
    <col min="1" max="1" width="13.28125" style="369" bestFit="1" customWidth="1"/>
    <col min="2" max="2" width="14.57421875" style="370" customWidth="1"/>
    <col min="3" max="3" width="56.00390625" style="370" customWidth="1"/>
    <col min="4" max="4" width="17.00390625" style="371" bestFit="1" customWidth="1"/>
    <col min="5" max="5" width="15.8515625" style="380" customWidth="1"/>
    <col min="6" max="6" width="18.421875" style="376" customWidth="1"/>
    <col min="7" max="7" width="15.7109375" style="373" customWidth="1"/>
    <col min="8" max="8" width="15.7109375" style="374" customWidth="1"/>
    <col min="9" max="9" width="15.7109375" style="373" customWidth="1"/>
    <col min="10" max="10" width="16.00390625" style="373" customWidth="1"/>
    <col min="11" max="13" width="15.7109375" style="373" customWidth="1"/>
    <col min="14" max="14" width="17.421875" style="373" customWidth="1"/>
    <col min="15" max="24" width="15.7109375" style="373" customWidth="1"/>
    <col min="25" max="25" width="15.7109375" style="375" customWidth="1"/>
    <col min="26" max="37" width="15.7109375" style="373" customWidth="1"/>
    <col min="38" max="38" width="16.28125" style="440" customWidth="1"/>
    <col min="39" max="39" width="4.140625" style="376" customWidth="1"/>
    <col min="40" max="40" width="16.00390625" style="377" customWidth="1"/>
    <col min="41" max="41" width="16.00390625" style="378" customWidth="1"/>
    <col min="42" max="42" width="3.8515625" style="369" bestFit="1" customWidth="1"/>
    <col min="43" max="43" width="19.140625" style="370" customWidth="1"/>
    <col min="44" max="44" width="26.28125" style="370" customWidth="1"/>
    <col min="45" max="16384" width="9.140625" style="370" customWidth="1"/>
  </cols>
  <sheetData>
    <row r="1" spans="1:41" s="349" customFormat="1" ht="27" customHeight="1">
      <c r="A1" s="527" t="s">
        <v>73</v>
      </c>
      <c r="B1" s="529" t="s">
        <v>3</v>
      </c>
      <c r="C1" s="529" t="s">
        <v>46</v>
      </c>
      <c r="D1" s="531" t="s">
        <v>1</v>
      </c>
      <c r="E1" s="523" t="s">
        <v>45</v>
      </c>
      <c r="F1" s="525" t="s">
        <v>127</v>
      </c>
      <c r="G1" s="520">
        <v>241367</v>
      </c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2"/>
      <c r="AL1" s="345"/>
      <c r="AM1" s="346"/>
      <c r="AN1" s="347"/>
      <c r="AO1" s="348"/>
    </row>
    <row r="2" spans="1:44" s="349" customFormat="1" ht="66.75" customHeight="1">
      <c r="A2" s="528"/>
      <c r="B2" s="530"/>
      <c r="C2" s="530"/>
      <c r="D2" s="532"/>
      <c r="E2" s="524"/>
      <c r="F2" s="526"/>
      <c r="G2" s="350">
        <v>1</v>
      </c>
      <c r="H2" s="350">
        <v>2</v>
      </c>
      <c r="I2" s="350">
        <v>3</v>
      </c>
      <c r="J2" s="350">
        <v>4</v>
      </c>
      <c r="K2" s="350">
        <v>5</v>
      </c>
      <c r="L2" s="350">
        <v>6</v>
      </c>
      <c r="M2" s="350">
        <v>7</v>
      </c>
      <c r="N2" s="350">
        <v>8</v>
      </c>
      <c r="O2" s="350">
        <v>9</v>
      </c>
      <c r="P2" s="350">
        <v>10</v>
      </c>
      <c r="Q2" s="350">
        <v>11</v>
      </c>
      <c r="R2" s="350">
        <v>12</v>
      </c>
      <c r="S2" s="350">
        <v>13</v>
      </c>
      <c r="T2" s="350">
        <v>14</v>
      </c>
      <c r="U2" s="350">
        <v>15</v>
      </c>
      <c r="V2" s="350">
        <v>16</v>
      </c>
      <c r="W2" s="350">
        <v>17</v>
      </c>
      <c r="X2" s="350">
        <v>18</v>
      </c>
      <c r="Y2" s="350">
        <v>19</v>
      </c>
      <c r="Z2" s="350">
        <v>20</v>
      </c>
      <c r="AA2" s="350">
        <v>21</v>
      </c>
      <c r="AB2" s="350">
        <v>22</v>
      </c>
      <c r="AC2" s="350">
        <v>23</v>
      </c>
      <c r="AD2" s="350">
        <v>24</v>
      </c>
      <c r="AE2" s="350">
        <v>25</v>
      </c>
      <c r="AF2" s="350">
        <v>26</v>
      </c>
      <c r="AG2" s="350">
        <v>27</v>
      </c>
      <c r="AH2" s="350">
        <v>28</v>
      </c>
      <c r="AI2" s="350">
        <v>29</v>
      </c>
      <c r="AJ2" s="350">
        <v>30</v>
      </c>
      <c r="AK2" s="350">
        <v>31</v>
      </c>
      <c r="AL2" s="351" t="s">
        <v>133</v>
      </c>
      <c r="AM2" s="346"/>
      <c r="AN2" s="352" t="s">
        <v>134</v>
      </c>
      <c r="AO2" s="353" t="s">
        <v>137</v>
      </c>
      <c r="AP2" s="354"/>
      <c r="AQ2" s="349" t="s">
        <v>135</v>
      </c>
      <c r="AR2" s="354" t="s">
        <v>136</v>
      </c>
    </row>
    <row r="3" spans="1:41" s="349" customFormat="1" ht="21">
      <c r="A3" s="349" t="s">
        <v>31</v>
      </c>
      <c r="B3" s="349" t="s">
        <v>41</v>
      </c>
      <c r="D3" s="355" t="s">
        <v>31</v>
      </c>
      <c r="E3" s="356"/>
      <c r="F3" s="346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45">
        <v>0</v>
      </c>
      <c r="AM3" s="346"/>
      <c r="AN3" s="347"/>
      <c r="AO3" s="348"/>
    </row>
    <row r="4" spans="1:41" s="360" customFormat="1" ht="21">
      <c r="A4" s="360">
        <v>1101010101</v>
      </c>
      <c r="B4" s="361" t="s">
        <v>31</v>
      </c>
      <c r="C4" s="361"/>
      <c r="D4" s="362"/>
      <c r="E4" s="363"/>
      <c r="F4" s="366"/>
      <c r="G4" s="364"/>
      <c r="H4" s="358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5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45">
        <f aca="true" t="shared" si="0" ref="AL4:AL35">(F4)+SUM(G4:AK4)</f>
        <v>0</v>
      </c>
      <c r="AM4" s="366"/>
      <c r="AN4" s="367"/>
      <c r="AO4" s="348"/>
    </row>
    <row r="5" spans="2:41" s="360" customFormat="1" ht="21" hidden="1">
      <c r="B5" s="361" t="s">
        <v>32</v>
      </c>
      <c r="C5" s="361"/>
      <c r="D5" s="362"/>
      <c r="E5" s="363"/>
      <c r="F5" s="366"/>
      <c r="G5" s="364"/>
      <c r="H5" s="358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45">
        <f t="shared" si="0"/>
        <v>0</v>
      </c>
      <c r="AM5" s="366"/>
      <c r="AN5" s="367"/>
      <c r="AO5" s="348"/>
    </row>
    <row r="6" spans="2:41" s="349" customFormat="1" ht="21" hidden="1">
      <c r="B6" s="368"/>
      <c r="C6" s="368"/>
      <c r="D6" s="355"/>
      <c r="E6" s="356"/>
      <c r="F6" s="346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45">
        <f t="shared" si="0"/>
        <v>0</v>
      </c>
      <c r="AM6" s="346"/>
      <c r="AN6" s="347"/>
      <c r="AO6" s="348"/>
    </row>
    <row r="7" spans="2:41" s="349" customFormat="1" ht="21" hidden="1">
      <c r="B7" s="368" t="s">
        <v>40</v>
      </c>
      <c r="C7" s="368"/>
      <c r="D7" s="355"/>
      <c r="E7" s="356"/>
      <c r="F7" s="346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9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45">
        <f t="shared" si="0"/>
        <v>0</v>
      </c>
      <c r="AM7" s="346"/>
      <c r="AN7" s="347"/>
      <c r="AO7" s="348"/>
    </row>
    <row r="8" spans="2:41" s="349" customFormat="1" ht="21" hidden="1">
      <c r="B8" s="368" t="s">
        <v>33</v>
      </c>
      <c r="C8" s="368"/>
      <c r="D8" s="355"/>
      <c r="E8" s="356"/>
      <c r="F8" s="346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9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45">
        <f t="shared" si="0"/>
        <v>0</v>
      </c>
      <c r="AM8" s="346"/>
      <c r="AN8" s="347"/>
      <c r="AO8" s="348"/>
    </row>
    <row r="9" spans="2:41" s="349" customFormat="1" ht="21" hidden="1">
      <c r="B9" s="368" t="s">
        <v>42</v>
      </c>
      <c r="C9" s="368"/>
      <c r="D9" s="355"/>
      <c r="E9" s="356"/>
      <c r="F9" s="346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9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45">
        <f t="shared" si="0"/>
        <v>0</v>
      </c>
      <c r="AM9" s="346"/>
      <c r="AN9" s="347"/>
      <c r="AO9" s="348"/>
    </row>
    <row r="10" spans="2:41" s="360" customFormat="1" ht="21" hidden="1">
      <c r="B10" s="361"/>
      <c r="C10" s="361"/>
      <c r="D10" s="362"/>
      <c r="E10" s="363"/>
      <c r="F10" s="366"/>
      <c r="G10" s="364"/>
      <c r="H10" s="358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5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45">
        <f t="shared" si="0"/>
        <v>0</v>
      </c>
      <c r="AM10" s="366"/>
      <c r="AN10" s="367"/>
      <c r="AO10" s="348"/>
    </row>
    <row r="11" spans="2:41" s="360" customFormat="1" ht="21" hidden="1">
      <c r="B11" s="361"/>
      <c r="C11" s="361"/>
      <c r="D11" s="362"/>
      <c r="E11" s="363"/>
      <c r="F11" s="366"/>
      <c r="G11" s="364"/>
      <c r="H11" s="358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5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45">
        <f t="shared" si="0"/>
        <v>0</v>
      </c>
      <c r="AM11" s="366"/>
      <c r="AN11" s="367"/>
      <c r="AO11" s="348"/>
    </row>
    <row r="12" spans="1:41" s="349" customFormat="1" ht="21">
      <c r="A12" s="349" t="s">
        <v>72</v>
      </c>
      <c r="B12" s="349" t="s">
        <v>0</v>
      </c>
      <c r="D12" s="355"/>
      <c r="E12" s="356"/>
      <c r="F12" s="346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45">
        <f t="shared" si="0"/>
        <v>0</v>
      </c>
      <c r="AM12" s="346"/>
      <c r="AN12" s="347"/>
      <c r="AO12" s="348"/>
    </row>
    <row r="13" spans="1:38" ht="21">
      <c r="A13" s="369">
        <v>1101030101</v>
      </c>
      <c r="B13" s="370" t="s">
        <v>39</v>
      </c>
      <c r="D13" s="371">
        <v>9326000028</v>
      </c>
      <c r="E13" s="372" t="s">
        <v>4</v>
      </c>
      <c r="AL13" s="345">
        <f t="shared" si="0"/>
        <v>0</v>
      </c>
    </row>
    <row r="14" spans="1:38" ht="21">
      <c r="A14" s="369">
        <v>1101030101</v>
      </c>
      <c r="B14" s="370" t="s">
        <v>2</v>
      </c>
      <c r="D14" s="371">
        <v>9326001040</v>
      </c>
      <c r="E14" s="372" t="s">
        <v>9</v>
      </c>
      <c r="AL14" s="345">
        <f t="shared" si="0"/>
        <v>0</v>
      </c>
    </row>
    <row r="15" spans="1:38" ht="21">
      <c r="A15" s="369">
        <v>1101030101</v>
      </c>
      <c r="B15" s="370" t="s">
        <v>2</v>
      </c>
      <c r="D15" s="371">
        <v>9326005097</v>
      </c>
      <c r="E15" s="372" t="s">
        <v>10</v>
      </c>
      <c r="AL15" s="345">
        <f t="shared" si="0"/>
        <v>0</v>
      </c>
    </row>
    <row r="16" spans="1:38" ht="21">
      <c r="A16" s="369">
        <v>1101030101</v>
      </c>
      <c r="B16" s="370" t="s">
        <v>2</v>
      </c>
      <c r="D16" s="371">
        <v>9326012476</v>
      </c>
      <c r="E16" s="372" t="s">
        <v>11</v>
      </c>
      <c r="AL16" s="345">
        <f t="shared" si="0"/>
        <v>0</v>
      </c>
    </row>
    <row r="17" spans="1:38" ht="21">
      <c r="A17" s="369">
        <v>1101030101</v>
      </c>
      <c r="B17" s="370" t="s">
        <v>14</v>
      </c>
      <c r="D17" s="379" t="s">
        <v>44</v>
      </c>
      <c r="E17" s="380" t="s">
        <v>49</v>
      </c>
      <c r="AL17" s="345">
        <f t="shared" si="0"/>
        <v>0</v>
      </c>
    </row>
    <row r="18" spans="1:41" ht="21">
      <c r="A18" s="369">
        <v>1101030101</v>
      </c>
      <c r="D18" s="371">
        <v>9326016978</v>
      </c>
      <c r="E18" s="372" t="s">
        <v>142</v>
      </c>
      <c r="F18" s="376">
        <v>126300</v>
      </c>
      <c r="AL18" s="345">
        <f t="shared" si="0"/>
        <v>126300</v>
      </c>
      <c r="AN18" s="377">
        <v>126300</v>
      </c>
      <c r="AO18" s="381">
        <f>AN18-AL18</f>
        <v>0</v>
      </c>
    </row>
    <row r="19" spans="5:38" ht="21">
      <c r="E19" s="372"/>
      <c r="AL19" s="345">
        <f t="shared" si="0"/>
        <v>0</v>
      </c>
    </row>
    <row r="20" spans="1:42" s="387" customFormat="1" ht="21">
      <c r="A20" s="382" t="s">
        <v>12</v>
      </c>
      <c r="B20" s="382" t="s">
        <v>0</v>
      </c>
      <c r="C20" s="382"/>
      <c r="D20" s="383"/>
      <c r="E20" s="384"/>
      <c r="F20" s="385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86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45">
        <f t="shared" si="0"/>
        <v>0</v>
      </c>
      <c r="AM20" s="385"/>
      <c r="AN20" s="280"/>
      <c r="AO20" s="378"/>
      <c r="AP20" s="382"/>
    </row>
    <row r="21" spans="1:44" ht="21">
      <c r="A21" s="369">
        <v>1101030102</v>
      </c>
      <c r="B21" s="370" t="s">
        <v>2</v>
      </c>
      <c r="C21" s="388" t="s">
        <v>86</v>
      </c>
      <c r="D21" s="389">
        <v>9321080872</v>
      </c>
      <c r="E21" s="390" t="s">
        <v>5</v>
      </c>
      <c r="F21" s="385">
        <v>119260789</v>
      </c>
      <c r="G21" s="373">
        <f>-164512.28+167998.61+19440</f>
        <v>22926.329999999987</v>
      </c>
      <c r="H21" s="373">
        <f>-318722+575408+177727</f>
        <v>434413</v>
      </c>
      <c r="I21" s="373">
        <f>214119.96</f>
        <v>214119.96</v>
      </c>
      <c r="L21" s="373">
        <f>353228.89</f>
        <v>353228.89</v>
      </c>
      <c r="M21" s="373">
        <f>208872.81</f>
        <v>208872.81</v>
      </c>
      <c r="N21" s="373">
        <f>137415.6</f>
        <v>137415.6</v>
      </c>
      <c r="O21" s="373">
        <f>13990+84969+158493.32+68877.78</f>
        <v>326330.1</v>
      </c>
      <c r="P21" s="373">
        <f>16774</f>
        <v>16774</v>
      </c>
      <c r="S21" s="373">
        <f>-1780667.81-169174.02+781186+401815.81+11710</f>
        <v>-755130.02</v>
      </c>
      <c r="T21" s="373">
        <f>-1715379.15-3178711.95+206635</f>
        <v>-4687456.1</v>
      </c>
      <c r="U21" s="373">
        <f>92055+633127.1+231707.09</f>
        <v>956889.19</v>
      </c>
      <c r="V21" s="373">
        <f>494356+314166+185219-5300000</f>
        <v>-4306259</v>
      </c>
      <c r="W21" s="373">
        <f>109109.42+3583.43</f>
        <v>112692.84999999999</v>
      </c>
      <c r="X21" s="374"/>
      <c r="Z21" s="373">
        <f>256628</f>
        <v>256628</v>
      </c>
      <c r="AA21" s="373">
        <f>299630.61+169290.43</f>
        <v>468921.04</v>
      </c>
      <c r="AB21" s="373">
        <f>75883+7600</f>
        <v>83483</v>
      </c>
      <c r="AC21" s="373">
        <f>183130</f>
        <v>183130</v>
      </c>
      <c r="AD21" s="373">
        <f>166098+152766</f>
        <v>318864</v>
      </c>
      <c r="AG21" s="373">
        <f>641537.97+375924</f>
        <v>1017461.97</v>
      </c>
      <c r="AH21" s="373">
        <f>168010+9698.03</f>
        <v>177708.03</v>
      </c>
      <c r="AI21" s="373">
        <f>167867.14+300</f>
        <v>168167.14</v>
      </c>
      <c r="AJ21" s="373">
        <f>7750+256396.32</f>
        <v>264146.32</v>
      </c>
      <c r="AL21" s="345">
        <f t="shared" si="0"/>
        <v>115234116.11</v>
      </c>
      <c r="AN21" s="451">
        <v>109715383.14</v>
      </c>
      <c r="AO21" s="381">
        <f>AN21-AL21</f>
        <v>-5518732.969999999</v>
      </c>
      <c r="AP21" s="369" t="s">
        <v>92</v>
      </c>
      <c r="AQ21" s="357">
        <f>AL21+AO21</f>
        <v>109715383.14</v>
      </c>
      <c r="AR21" s="357">
        <f>AN21-AQ21</f>
        <v>0</v>
      </c>
    </row>
    <row r="22" spans="1:44" ht="21">
      <c r="A22" s="369">
        <v>1101030102</v>
      </c>
      <c r="B22" s="370" t="s">
        <v>15</v>
      </c>
      <c r="C22" s="388" t="s">
        <v>50</v>
      </c>
      <c r="D22" s="371">
        <v>9091058013</v>
      </c>
      <c r="E22" s="372" t="s">
        <v>6</v>
      </c>
      <c r="F22" s="376">
        <v>636095.24</v>
      </c>
      <c r="AL22" s="345">
        <f t="shared" si="0"/>
        <v>636095.24</v>
      </c>
      <c r="AN22" s="451">
        <f>(H22)+SUM(I22:AM22)</f>
        <v>636095.24</v>
      </c>
      <c r="AO22" s="381">
        <f aca="true" t="shared" si="1" ref="AO22:AO56">AN22-AL22</f>
        <v>0</v>
      </c>
      <c r="AQ22" s="357">
        <f aca="true" t="shared" si="2" ref="AQ22:AQ56">AL22+AO22</f>
        <v>636095.24</v>
      </c>
      <c r="AR22" s="357">
        <f aca="true" t="shared" si="3" ref="AR22:AR56">AN22-AQ22</f>
        <v>0</v>
      </c>
    </row>
    <row r="23" spans="1:44" ht="21">
      <c r="A23" s="369">
        <v>1101030102</v>
      </c>
      <c r="B23" s="370" t="s">
        <v>2</v>
      </c>
      <c r="C23" s="388" t="s">
        <v>51</v>
      </c>
      <c r="D23" s="371">
        <v>9321044531</v>
      </c>
      <c r="E23" s="372" t="s">
        <v>7</v>
      </c>
      <c r="F23" s="376">
        <v>12294.03</v>
      </c>
      <c r="AL23" s="345">
        <f t="shared" si="0"/>
        <v>12294.03</v>
      </c>
      <c r="AN23" s="451">
        <v>8444.03</v>
      </c>
      <c r="AO23" s="381">
        <f t="shared" si="1"/>
        <v>-3850</v>
      </c>
      <c r="AP23" s="369" t="s">
        <v>92</v>
      </c>
      <c r="AQ23" s="357">
        <f t="shared" si="2"/>
        <v>8444.03</v>
      </c>
      <c r="AR23" s="357">
        <f t="shared" si="3"/>
        <v>0</v>
      </c>
    </row>
    <row r="24" spans="1:44" ht="21">
      <c r="A24" s="369">
        <v>1101030102</v>
      </c>
      <c r="B24" s="370" t="s">
        <v>15</v>
      </c>
      <c r="C24" s="388" t="s">
        <v>52</v>
      </c>
      <c r="D24" s="371">
        <v>9092199648</v>
      </c>
      <c r="E24" s="372" t="s">
        <v>8</v>
      </c>
      <c r="F24" s="376">
        <v>174360.81</v>
      </c>
      <c r="AL24" s="345">
        <f t="shared" si="0"/>
        <v>174360.81</v>
      </c>
      <c r="AN24" s="451">
        <f>(H24)+SUM(I24:AM24)</f>
        <v>174360.81</v>
      </c>
      <c r="AO24" s="381">
        <f t="shared" si="1"/>
        <v>0</v>
      </c>
      <c r="AQ24" s="357">
        <f t="shared" si="2"/>
        <v>174360.81</v>
      </c>
      <c r="AR24" s="357">
        <f t="shared" si="3"/>
        <v>0</v>
      </c>
    </row>
    <row r="25" spans="1:44" ht="21">
      <c r="A25" s="369">
        <v>1101030102</v>
      </c>
      <c r="B25" s="370" t="s">
        <v>13</v>
      </c>
      <c r="C25" s="388" t="s">
        <v>143</v>
      </c>
      <c r="D25" s="379" t="s">
        <v>128</v>
      </c>
      <c r="E25" s="372" t="s">
        <v>147</v>
      </c>
      <c r="F25" s="376">
        <v>705557.74</v>
      </c>
      <c r="AL25" s="345">
        <f t="shared" si="0"/>
        <v>705557.74</v>
      </c>
      <c r="AN25" s="451">
        <v>690304.37</v>
      </c>
      <c r="AO25" s="381">
        <f t="shared" si="1"/>
        <v>-15253.369999999995</v>
      </c>
      <c r="AP25" s="369" t="s">
        <v>92</v>
      </c>
      <c r="AQ25" s="357">
        <f t="shared" si="2"/>
        <v>690304.37</v>
      </c>
      <c r="AR25" s="357">
        <f t="shared" si="3"/>
        <v>0</v>
      </c>
    </row>
    <row r="26" spans="1:44" ht="21">
      <c r="A26" s="369">
        <v>1101030102</v>
      </c>
      <c r="B26" s="370" t="s">
        <v>2</v>
      </c>
      <c r="C26" s="388" t="s">
        <v>53</v>
      </c>
      <c r="D26" s="371">
        <v>9321151400</v>
      </c>
      <c r="E26" s="372" t="s">
        <v>17</v>
      </c>
      <c r="F26" s="376">
        <v>15793.57</v>
      </c>
      <c r="AL26" s="345">
        <f t="shared" si="0"/>
        <v>15793.57</v>
      </c>
      <c r="AN26" s="451">
        <f aca="true" t="shared" si="4" ref="AN26:AN32">(H26)+SUM(I26:AM26)</f>
        <v>15793.57</v>
      </c>
      <c r="AO26" s="381">
        <f t="shared" si="1"/>
        <v>0</v>
      </c>
      <c r="AQ26" s="357">
        <f t="shared" si="2"/>
        <v>15793.57</v>
      </c>
      <c r="AR26" s="357">
        <f t="shared" si="3"/>
        <v>0</v>
      </c>
    </row>
    <row r="27" spans="1:44" ht="21">
      <c r="A27" s="369">
        <v>1101030102</v>
      </c>
      <c r="B27" s="370" t="s">
        <v>2</v>
      </c>
      <c r="C27" s="388" t="s">
        <v>54</v>
      </c>
      <c r="D27" s="371">
        <v>9321484736</v>
      </c>
      <c r="E27" s="372" t="s">
        <v>19</v>
      </c>
      <c r="AL27" s="345">
        <f t="shared" si="0"/>
        <v>0</v>
      </c>
      <c r="AN27" s="451">
        <f t="shared" si="4"/>
        <v>0</v>
      </c>
      <c r="AO27" s="381">
        <f t="shared" si="1"/>
        <v>0</v>
      </c>
      <c r="AQ27" s="357">
        <f t="shared" si="2"/>
        <v>0</v>
      </c>
      <c r="AR27" s="357">
        <f t="shared" si="3"/>
        <v>0</v>
      </c>
    </row>
    <row r="28" spans="1:44" ht="21">
      <c r="A28" s="369">
        <v>1101030102</v>
      </c>
      <c r="B28" s="370" t="s">
        <v>2</v>
      </c>
      <c r="C28" s="388" t="s">
        <v>55</v>
      </c>
      <c r="D28" s="371">
        <v>9321441107</v>
      </c>
      <c r="E28" s="372" t="s">
        <v>20</v>
      </c>
      <c r="F28" s="376">
        <v>41917.54</v>
      </c>
      <c r="AL28" s="345">
        <f t="shared" si="0"/>
        <v>41917.54</v>
      </c>
      <c r="AN28" s="451">
        <f t="shared" si="4"/>
        <v>41917.54</v>
      </c>
      <c r="AO28" s="381">
        <f t="shared" si="1"/>
        <v>0</v>
      </c>
      <c r="AQ28" s="357">
        <f t="shared" si="2"/>
        <v>41917.54</v>
      </c>
      <c r="AR28" s="357">
        <f t="shared" si="3"/>
        <v>0</v>
      </c>
    </row>
    <row r="29" spans="1:44" ht="21">
      <c r="A29" s="369">
        <v>1101030102</v>
      </c>
      <c r="B29" s="370" t="s">
        <v>2</v>
      </c>
      <c r="C29" s="388" t="s">
        <v>77</v>
      </c>
      <c r="D29" s="371">
        <v>9321441638</v>
      </c>
      <c r="E29" s="372" t="s">
        <v>21</v>
      </c>
      <c r="F29" s="376">
        <v>3913.86</v>
      </c>
      <c r="AL29" s="345">
        <f t="shared" si="0"/>
        <v>3913.86</v>
      </c>
      <c r="AN29" s="451">
        <f t="shared" si="4"/>
        <v>3913.86</v>
      </c>
      <c r="AO29" s="381">
        <f t="shared" si="1"/>
        <v>0</v>
      </c>
      <c r="AQ29" s="357">
        <f t="shared" si="2"/>
        <v>3913.86</v>
      </c>
      <c r="AR29" s="357">
        <f t="shared" si="3"/>
        <v>0</v>
      </c>
    </row>
    <row r="30" spans="1:44" ht="21">
      <c r="A30" s="369">
        <v>1101030102</v>
      </c>
      <c r="B30" s="370" t="s">
        <v>2</v>
      </c>
      <c r="C30" s="388" t="s">
        <v>56</v>
      </c>
      <c r="D30" s="371">
        <v>9321474838</v>
      </c>
      <c r="E30" s="372" t="s">
        <v>22</v>
      </c>
      <c r="F30" s="376">
        <v>4387.09</v>
      </c>
      <c r="AL30" s="345">
        <f t="shared" si="0"/>
        <v>4387.09</v>
      </c>
      <c r="AN30" s="451">
        <f t="shared" si="4"/>
        <v>4387.09</v>
      </c>
      <c r="AO30" s="381">
        <f t="shared" si="1"/>
        <v>0</v>
      </c>
      <c r="AQ30" s="357">
        <f t="shared" si="2"/>
        <v>4387.09</v>
      </c>
      <c r="AR30" s="357">
        <f t="shared" si="3"/>
        <v>0</v>
      </c>
    </row>
    <row r="31" spans="1:44" ht="21">
      <c r="A31" s="369">
        <v>1101030102</v>
      </c>
      <c r="B31" s="370" t="s">
        <v>2</v>
      </c>
      <c r="C31" s="388" t="s">
        <v>57</v>
      </c>
      <c r="D31" s="371">
        <v>9320023573</v>
      </c>
      <c r="E31" s="372" t="s">
        <v>23</v>
      </c>
      <c r="F31" s="376">
        <v>101071.68</v>
      </c>
      <c r="AL31" s="345">
        <f t="shared" si="0"/>
        <v>101071.68</v>
      </c>
      <c r="AN31" s="451">
        <f t="shared" si="4"/>
        <v>101071.68</v>
      </c>
      <c r="AO31" s="381">
        <f t="shared" si="1"/>
        <v>0</v>
      </c>
      <c r="AQ31" s="357">
        <f t="shared" si="2"/>
        <v>101071.68</v>
      </c>
      <c r="AR31" s="357">
        <f t="shared" si="3"/>
        <v>0</v>
      </c>
    </row>
    <row r="32" spans="1:44" s="392" customFormat="1" ht="21">
      <c r="A32" s="391">
        <v>1101030102</v>
      </c>
      <c r="B32" s="392" t="s">
        <v>2</v>
      </c>
      <c r="C32" s="393" t="s">
        <v>58</v>
      </c>
      <c r="D32" s="394">
        <v>9321188886</v>
      </c>
      <c r="E32" s="395" t="s">
        <v>24</v>
      </c>
      <c r="F32" s="396"/>
      <c r="G32" s="397"/>
      <c r="H32" s="398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9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45">
        <f t="shared" si="0"/>
        <v>0</v>
      </c>
      <c r="AM32" s="396"/>
      <c r="AN32" s="451">
        <f t="shared" si="4"/>
        <v>0</v>
      </c>
      <c r="AO32" s="381">
        <f t="shared" si="1"/>
        <v>0</v>
      </c>
      <c r="AP32" s="391"/>
      <c r="AQ32" s="357">
        <f t="shared" si="2"/>
        <v>0</v>
      </c>
      <c r="AR32" s="357">
        <f t="shared" si="3"/>
        <v>0</v>
      </c>
    </row>
    <row r="33" spans="1:44" ht="21">
      <c r="A33" s="369">
        <v>1101030102</v>
      </c>
      <c r="B33" s="370" t="s">
        <v>2</v>
      </c>
      <c r="C33" s="388" t="s">
        <v>48</v>
      </c>
      <c r="D33" s="371">
        <v>9321108904</v>
      </c>
      <c r="E33" s="372" t="s">
        <v>25</v>
      </c>
      <c r="F33" s="376">
        <v>10529200.78</v>
      </c>
      <c r="AL33" s="345">
        <f t="shared" si="0"/>
        <v>10529200.78</v>
      </c>
      <c r="AN33" s="451">
        <v>11235987.22</v>
      </c>
      <c r="AO33" s="381">
        <f t="shared" si="1"/>
        <v>706786.4400000013</v>
      </c>
      <c r="AP33" s="369" t="s">
        <v>93</v>
      </c>
      <c r="AQ33" s="357">
        <f t="shared" si="2"/>
        <v>11235987.22</v>
      </c>
      <c r="AR33" s="357">
        <f t="shared" si="3"/>
        <v>0</v>
      </c>
    </row>
    <row r="34" spans="1:44" s="392" customFormat="1" ht="21">
      <c r="A34" s="391">
        <v>1101030102</v>
      </c>
      <c r="B34" s="392" t="s">
        <v>14</v>
      </c>
      <c r="C34" s="393" t="s">
        <v>59</v>
      </c>
      <c r="D34" s="401" t="s">
        <v>16</v>
      </c>
      <c r="E34" s="395" t="s">
        <v>26</v>
      </c>
      <c r="F34" s="396"/>
      <c r="G34" s="397"/>
      <c r="H34" s="398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9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45">
        <f t="shared" si="0"/>
        <v>0</v>
      </c>
      <c r="AM34" s="396"/>
      <c r="AN34" s="451">
        <f>(H34)+SUM(I34:AM34)</f>
        <v>0</v>
      </c>
      <c r="AO34" s="381">
        <f t="shared" si="1"/>
        <v>0</v>
      </c>
      <c r="AP34" s="391"/>
      <c r="AQ34" s="357">
        <f t="shared" si="2"/>
        <v>0</v>
      </c>
      <c r="AR34" s="357">
        <f t="shared" si="3"/>
        <v>0</v>
      </c>
    </row>
    <row r="35" spans="1:44" ht="21">
      <c r="A35" s="369">
        <v>1101030102</v>
      </c>
      <c r="B35" s="370" t="s">
        <v>14</v>
      </c>
      <c r="C35" s="388" t="s">
        <v>76</v>
      </c>
      <c r="D35" s="402" t="s">
        <v>60</v>
      </c>
      <c r="E35" s="403" t="s">
        <v>27</v>
      </c>
      <c r="F35" s="376">
        <v>136933969.84</v>
      </c>
      <c r="H35" s="373"/>
      <c r="AL35" s="345">
        <f t="shared" si="0"/>
        <v>136933969.84</v>
      </c>
      <c r="AN35" s="452">
        <v>180853601.19</v>
      </c>
      <c r="AO35" s="405">
        <f t="shared" si="1"/>
        <v>43919631.349999994</v>
      </c>
      <c r="AP35" s="369" t="s">
        <v>93</v>
      </c>
      <c r="AQ35" s="357">
        <f t="shared" si="2"/>
        <v>180853601.19</v>
      </c>
      <c r="AR35" s="357">
        <f t="shared" si="3"/>
        <v>0</v>
      </c>
    </row>
    <row r="36" spans="1:44" ht="21">
      <c r="A36" s="369">
        <v>1101030102</v>
      </c>
      <c r="B36" s="370" t="s">
        <v>2</v>
      </c>
      <c r="C36" s="388" t="s">
        <v>61</v>
      </c>
      <c r="D36" s="389">
        <v>9320115583</v>
      </c>
      <c r="E36" s="390" t="s">
        <v>28</v>
      </c>
      <c r="F36" s="376">
        <v>14907198</v>
      </c>
      <c r="M36" s="373">
        <f>2900</f>
        <v>2900</v>
      </c>
      <c r="N36" s="373">
        <v>2050</v>
      </c>
      <c r="AA36" s="373">
        <v>8000</v>
      </c>
      <c r="AI36" s="373">
        <v>600</v>
      </c>
      <c r="AL36" s="345">
        <f aca="true" t="shared" si="5" ref="AL36:AL55">(F36)+SUM(G36:AK36)</f>
        <v>14920748</v>
      </c>
      <c r="AN36" s="451">
        <v>12141607.55</v>
      </c>
      <c r="AO36" s="381">
        <f t="shared" si="1"/>
        <v>-2779140.4499999993</v>
      </c>
      <c r="AP36" s="369" t="s">
        <v>92</v>
      </c>
      <c r="AQ36" s="357">
        <f t="shared" si="2"/>
        <v>12141607.55</v>
      </c>
      <c r="AR36" s="357">
        <f t="shared" si="3"/>
        <v>0</v>
      </c>
    </row>
    <row r="37" spans="1:44" ht="21">
      <c r="A37" s="369">
        <v>1101030102</v>
      </c>
      <c r="B37" s="370" t="s">
        <v>2</v>
      </c>
      <c r="C37" s="388" t="s">
        <v>62</v>
      </c>
      <c r="D37" s="371">
        <v>9320261059</v>
      </c>
      <c r="E37" s="372" t="s">
        <v>29</v>
      </c>
      <c r="F37" s="376">
        <v>44069773.55</v>
      </c>
      <c r="AL37" s="345">
        <f t="shared" si="5"/>
        <v>44069773.55</v>
      </c>
      <c r="AN37" s="451">
        <v>43435129.1</v>
      </c>
      <c r="AO37" s="381">
        <f t="shared" si="1"/>
        <v>-634644.4499999955</v>
      </c>
      <c r="AP37" s="369" t="s">
        <v>92</v>
      </c>
      <c r="AQ37" s="357">
        <f t="shared" si="2"/>
        <v>43435129.1</v>
      </c>
      <c r="AR37" s="357">
        <f t="shared" si="3"/>
        <v>0</v>
      </c>
    </row>
    <row r="38" spans="1:44" ht="21">
      <c r="A38" s="369">
        <v>1101030102</v>
      </c>
      <c r="B38" s="370" t="s">
        <v>2</v>
      </c>
      <c r="C38" s="388" t="s">
        <v>63</v>
      </c>
      <c r="D38" s="371">
        <v>9320293791</v>
      </c>
      <c r="E38" s="372" t="s">
        <v>30</v>
      </c>
      <c r="F38" s="376">
        <v>13407643</v>
      </c>
      <c r="AL38" s="345">
        <f t="shared" si="5"/>
        <v>13407643</v>
      </c>
      <c r="AN38" s="451">
        <v>13229643</v>
      </c>
      <c r="AO38" s="381">
        <f t="shared" si="1"/>
        <v>-178000</v>
      </c>
      <c r="AP38" s="369" t="s">
        <v>92</v>
      </c>
      <c r="AQ38" s="357">
        <f t="shared" si="2"/>
        <v>13229643</v>
      </c>
      <c r="AR38" s="357">
        <f t="shared" si="3"/>
        <v>0</v>
      </c>
    </row>
    <row r="39" spans="1:44" ht="21">
      <c r="A39" s="369">
        <v>1101030102</v>
      </c>
      <c r="B39" s="370" t="s">
        <v>2</v>
      </c>
      <c r="C39" s="388" t="s">
        <v>64</v>
      </c>
      <c r="D39" s="371">
        <v>9320293783</v>
      </c>
      <c r="E39" s="372" t="s">
        <v>34</v>
      </c>
      <c r="F39" s="376">
        <v>10825819.98</v>
      </c>
      <c r="AL39" s="345">
        <f t="shared" si="5"/>
        <v>10825819.98</v>
      </c>
      <c r="AN39" s="451">
        <v>10893819.98</v>
      </c>
      <c r="AO39" s="381">
        <f t="shared" si="1"/>
        <v>68000</v>
      </c>
      <c r="AP39" s="369" t="s">
        <v>93</v>
      </c>
      <c r="AQ39" s="357">
        <f t="shared" si="2"/>
        <v>10893819.98</v>
      </c>
      <c r="AR39" s="357">
        <f t="shared" si="3"/>
        <v>0</v>
      </c>
    </row>
    <row r="40" spans="1:44" ht="21">
      <c r="A40" s="369">
        <v>1101030102</v>
      </c>
      <c r="B40" s="370" t="s">
        <v>2</v>
      </c>
      <c r="C40" s="388" t="s">
        <v>47</v>
      </c>
      <c r="D40" s="371">
        <v>9320344507</v>
      </c>
      <c r="E40" s="372" t="s">
        <v>35</v>
      </c>
      <c r="F40" s="376">
        <v>6136494.11</v>
      </c>
      <c r="M40" s="373">
        <f>730</f>
        <v>730</v>
      </c>
      <c r="O40" s="373">
        <f>3565</f>
        <v>3565</v>
      </c>
      <c r="P40" s="373">
        <v>2200</v>
      </c>
      <c r="U40" s="373">
        <f>4165</f>
        <v>4165</v>
      </c>
      <c r="W40" s="373">
        <f>8000</f>
        <v>8000</v>
      </c>
      <c r="AB40" s="373">
        <v>365</v>
      </c>
      <c r="AD40" s="373">
        <f>5400</f>
        <v>5400</v>
      </c>
      <c r="AH40" s="373">
        <v>4165</v>
      </c>
      <c r="AI40" s="373">
        <v>365</v>
      </c>
      <c r="AJ40" s="373">
        <v>365</v>
      </c>
      <c r="AL40" s="345">
        <f t="shared" si="5"/>
        <v>6165814.11</v>
      </c>
      <c r="AN40" s="451">
        <v>6147827.9</v>
      </c>
      <c r="AO40" s="381">
        <f t="shared" si="1"/>
        <v>-17986.209999999963</v>
      </c>
      <c r="AP40" s="369" t="s">
        <v>92</v>
      </c>
      <c r="AQ40" s="357">
        <f t="shared" si="2"/>
        <v>6147827.9</v>
      </c>
      <c r="AR40" s="357">
        <f t="shared" si="3"/>
        <v>0</v>
      </c>
    </row>
    <row r="41" spans="1:44" ht="21">
      <c r="A41" s="369">
        <v>1101030102</v>
      </c>
      <c r="B41" s="370" t="s">
        <v>2</v>
      </c>
      <c r="C41" s="388" t="s">
        <v>65</v>
      </c>
      <c r="D41" s="371">
        <v>9320429634</v>
      </c>
      <c r="E41" s="372" t="s">
        <v>36</v>
      </c>
      <c r="F41" s="376">
        <v>571143.55</v>
      </c>
      <c r="AL41" s="345">
        <f t="shared" si="5"/>
        <v>571143.55</v>
      </c>
      <c r="AN41" s="451">
        <f>(H41)+SUM(I41:AM41)</f>
        <v>571143.55</v>
      </c>
      <c r="AO41" s="381">
        <f t="shared" si="1"/>
        <v>0</v>
      </c>
      <c r="AQ41" s="357">
        <f t="shared" si="2"/>
        <v>571143.55</v>
      </c>
      <c r="AR41" s="357">
        <f t="shared" si="3"/>
        <v>0</v>
      </c>
    </row>
    <row r="42" spans="1:44" ht="21">
      <c r="A42" s="369">
        <v>1101030102</v>
      </c>
      <c r="B42" s="370" t="s">
        <v>2</v>
      </c>
      <c r="C42" s="388" t="s">
        <v>66</v>
      </c>
      <c r="D42" s="379" t="s">
        <v>38</v>
      </c>
      <c r="E42" s="380" t="s">
        <v>37</v>
      </c>
      <c r="AL42" s="345">
        <f t="shared" si="5"/>
        <v>0</v>
      </c>
      <c r="AN42" s="451">
        <f>(H42)+SUM(I42:AM42)</f>
        <v>0</v>
      </c>
      <c r="AO42" s="381">
        <f t="shared" si="1"/>
        <v>0</v>
      </c>
      <c r="AQ42" s="357">
        <f t="shared" si="2"/>
        <v>0</v>
      </c>
      <c r="AR42" s="357">
        <f t="shared" si="3"/>
        <v>0</v>
      </c>
    </row>
    <row r="43" spans="1:44" ht="21">
      <c r="A43" s="369">
        <v>1101030102</v>
      </c>
      <c r="B43" s="370" t="s">
        <v>2</v>
      </c>
      <c r="C43" s="388" t="s">
        <v>67</v>
      </c>
      <c r="D43" s="371">
        <v>9320515662</v>
      </c>
      <c r="E43" s="380" t="s">
        <v>81</v>
      </c>
      <c r="F43" s="376">
        <v>1772518.74</v>
      </c>
      <c r="AL43" s="345">
        <f t="shared" si="5"/>
        <v>1772518.74</v>
      </c>
      <c r="AN43" s="451">
        <v>1786418.74</v>
      </c>
      <c r="AO43" s="381">
        <f t="shared" si="1"/>
        <v>13900</v>
      </c>
      <c r="AP43" s="369" t="s">
        <v>93</v>
      </c>
      <c r="AQ43" s="357">
        <f t="shared" si="2"/>
        <v>1786418.74</v>
      </c>
      <c r="AR43" s="357">
        <f t="shared" si="3"/>
        <v>0</v>
      </c>
    </row>
    <row r="44" spans="1:44" ht="21">
      <c r="A44" s="369">
        <v>1101030102</v>
      </c>
      <c r="B44" s="370" t="s">
        <v>14</v>
      </c>
      <c r="C44" s="388" t="s">
        <v>69</v>
      </c>
      <c r="D44" s="379" t="s">
        <v>43</v>
      </c>
      <c r="E44" s="380" t="s">
        <v>82</v>
      </c>
      <c r="F44" s="376">
        <v>104848.71</v>
      </c>
      <c r="AL44" s="345">
        <f t="shared" si="5"/>
        <v>104848.71</v>
      </c>
      <c r="AN44" s="451">
        <v>26388.71</v>
      </c>
      <c r="AO44" s="381">
        <f t="shared" si="1"/>
        <v>-78460</v>
      </c>
      <c r="AP44" s="369" t="s">
        <v>92</v>
      </c>
      <c r="AQ44" s="357">
        <f t="shared" si="2"/>
        <v>26388.710000000006</v>
      </c>
      <c r="AR44" s="357">
        <f t="shared" si="3"/>
        <v>0</v>
      </c>
    </row>
    <row r="45" spans="1:44" ht="21">
      <c r="A45" s="369">
        <v>1101030102</v>
      </c>
      <c r="B45" s="370" t="s">
        <v>2</v>
      </c>
      <c r="C45" s="388" t="s">
        <v>70</v>
      </c>
      <c r="D45" s="371">
        <v>9320614350</v>
      </c>
      <c r="E45" s="380" t="s">
        <v>83</v>
      </c>
      <c r="F45" s="376">
        <v>379138.02</v>
      </c>
      <c r="AL45" s="345">
        <f t="shared" si="5"/>
        <v>379138.02</v>
      </c>
      <c r="AN45" s="451">
        <v>379138.02</v>
      </c>
      <c r="AO45" s="381">
        <f t="shared" si="1"/>
        <v>0</v>
      </c>
      <c r="AQ45" s="357">
        <f t="shared" si="2"/>
        <v>379138.02</v>
      </c>
      <c r="AR45" s="357">
        <f t="shared" si="3"/>
        <v>0</v>
      </c>
    </row>
    <row r="46" spans="1:44" ht="21">
      <c r="A46" s="369">
        <v>1101030102</v>
      </c>
      <c r="B46" s="370" t="s">
        <v>13</v>
      </c>
      <c r="C46" s="388" t="s">
        <v>68</v>
      </c>
      <c r="D46" s="371">
        <v>5081084530</v>
      </c>
      <c r="E46" s="372" t="s">
        <v>84</v>
      </c>
      <c r="F46" s="376">
        <v>123420.31</v>
      </c>
      <c r="AL46" s="345">
        <f t="shared" si="5"/>
        <v>123420.31</v>
      </c>
      <c r="AN46" s="451">
        <f>(H46)+SUM(I46:AM46)</f>
        <v>123420.31</v>
      </c>
      <c r="AO46" s="381">
        <f t="shared" si="1"/>
        <v>0</v>
      </c>
      <c r="AQ46" s="357">
        <f t="shared" si="2"/>
        <v>123420.31</v>
      </c>
      <c r="AR46" s="357">
        <f t="shared" si="3"/>
        <v>0</v>
      </c>
    </row>
    <row r="47" spans="1:44" ht="21">
      <c r="A47" s="369">
        <v>1101030102</v>
      </c>
      <c r="B47" s="370" t="s">
        <v>89</v>
      </c>
      <c r="C47" s="388" t="s">
        <v>87</v>
      </c>
      <c r="D47" s="379" t="s">
        <v>88</v>
      </c>
      <c r="E47" s="406" t="s">
        <v>90</v>
      </c>
      <c r="F47" s="376">
        <v>23316865.99</v>
      </c>
      <c r="T47" s="373">
        <f>-416074.77</f>
        <v>-416074.77</v>
      </c>
      <c r="AL47" s="345">
        <f t="shared" si="5"/>
        <v>22900791.22</v>
      </c>
      <c r="AN47" s="451">
        <v>22366763.2</v>
      </c>
      <c r="AO47" s="381">
        <f t="shared" si="1"/>
        <v>-534028.0199999996</v>
      </c>
      <c r="AP47" s="369" t="s">
        <v>92</v>
      </c>
      <c r="AQ47" s="357">
        <f t="shared" si="2"/>
        <v>22366763.2</v>
      </c>
      <c r="AR47" s="357">
        <f t="shared" si="3"/>
        <v>0</v>
      </c>
    </row>
    <row r="48" spans="1:44" ht="21">
      <c r="A48" s="369">
        <v>1101030102</v>
      </c>
      <c r="C48" s="388" t="s">
        <v>99</v>
      </c>
      <c r="D48" s="371" t="s">
        <v>100</v>
      </c>
      <c r="E48" s="407" t="s">
        <v>103</v>
      </c>
      <c r="F48" s="376">
        <v>84703.91</v>
      </c>
      <c r="AL48" s="345">
        <f t="shared" si="5"/>
        <v>84703.91</v>
      </c>
      <c r="AN48" s="451">
        <f>(H48)+SUM(I48:AM48)</f>
        <v>84703.91</v>
      </c>
      <c r="AO48" s="381">
        <f t="shared" si="1"/>
        <v>0</v>
      </c>
      <c r="AQ48" s="357">
        <f t="shared" si="2"/>
        <v>84703.91</v>
      </c>
      <c r="AR48" s="357">
        <f t="shared" si="3"/>
        <v>0</v>
      </c>
    </row>
    <row r="49" spans="1:44" ht="21">
      <c r="A49" s="369">
        <v>1101030102</v>
      </c>
      <c r="C49" s="388" t="s">
        <v>107</v>
      </c>
      <c r="D49" s="408" t="s">
        <v>108</v>
      </c>
      <c r="E49" s="409" t="s">
        <v>111</v>
      </c>
      <c r="F49" s="376">
        <v>6818941.34</v>
      </c>
      <c r="AL49" s="345">
        <f t="shared" si="5"/>
        <v>6818941.34</v>
      </c>
      <c r="AN49" s="451">
        <f>(H49)+SUM(I49:AM49)</f>
        <v>6818941.34</v>
      </c>
      <c r="AO49" s="381">
        <f t="shared" si="1"/>
        <v>0</v>
      </c>
      <c r="AQ49" s="357">
        <f t="shared" si="2"/>
        <v>6818941.34</v>
      </c>
      <c r="AR49" s="357">
        <f t="shared" si="3"/>
        <v>0</v>
      </c>
    </row>
    <row r="50" spans="1:44" ht="21">
      <c r="A50" s="369">
        <v>1101030102</v>
      </c>
      <c r="B50" s="387" t="s">
        <v>0</v>
      </c>
      <c r="C50" s="388" t="s">
        <v>120</v>
      </c>
      <c r="D50" s="410">
        <v>9320830827</v>
      </c>
      <c r="E50" s="411" t="s">
        <v>121</v>
      </c>
      <c r="F50" s="376">
        <v>19429700.39</v>
      </c>
      <c r="L50" s="373">
        <v>11000</v>
      </c>
      <c r="P50" s="373">
        <f>5000</f>
        <v>5000</v>
      </c>
      <c r="U50" s="373">
        <f>8000</f>
        <v>8000</v>
      </c>
      <c r="V50" s="373">
        <f>50000</f>
        <v>50000</v>
      </c>
      <c r="AA50" s="373">
        <v>25000</v>
      </c>
      <c r="AG50" s="373">
        <f>2300</f>
        <v>2300</v>
      </c>
      <c r="AH50" s="373">
        <f>10000</f>
        <v>10000</v>
      </c>
      <c r="AL50" s="345">
        <f t="shared" si="5"/>
        <v>19541000.39</v>
      </c>
      <c r="AN50" s="451">
        <v>19546000.39</v>
      </c>
      <c r="AO50" s="381">
        <f t="shared" si="1"/>
        <v>5000</v>
      </c>
      <c r="AP50" s="369" t="s">
        <v>93</v>
      </c>
      <c r="AQ50" s="357">
        <f t="shared" si="2"/>
        <v>19546000.39</v>
      </c>
      <c r="AR50" s="357">
        <f t="shared" si="3"/>
        <v>0</v>
      </c>
    </row>
    <row r="51" spans="1:44" ht="21">
      <c r="A51" s="369">
        <v>1101030102</v>
      </c>
      <c r="B51" s="387"/>
      <c r="C51" s="388" t="s">
        <v>122</v>
      </c>
      <c r="D51" s="408">
        <v>9320821550</v>
      </c>
      <c r="E51" s="409" t="s">
        <v>123</v>
      </c>
      <c r="F51" s="376">
        <v>48821265.7</v>
      </c>
      <c r="AL51" s="345">
        <f t="shared" si="5"/>
        <v>48821265.7</v>
      </c>
      <c r="AN51" s="451">
        <f>(H51)+SUM(I51:AM51)</f>
        <v>48821265.7</v>
      </c>
      <c r="AO51" s="381">
        <f t="shared" si="1"/>
        <v>0</v>
      </c>
      <c r="AQ51" s="357">
        <f t="shared" si="2"/>
        <v>48821265.7</v>
      </c>
      <c r="AR51" s="357">
        <f t="shared" si="3"/>
        <v>0</v>
      </c>
    </row>
    <row r="52" spans="1:44" ht="21">
      <c r="A52" s="369">
        <v>1101030102</v>
      </c>
      <c r="B52" s="387"/>
      <c r="C52" s="388" t="s">
        <v>125</v>
      </c>
      <c r="D52" s="408">
        <v>9320917914</v>
      </c>
      <c r="E52" s="409" t="s">
        <v>126</v>
      </c>
      <c r="F52" s="376">
        <v>7183.11</v>
      </c>
      <c r="AL52" s="345">
        <f t="shared" si="5"/>
        <v>7183.11</v>
      </c>
      <c r="AN52" s="451">
        <f>(H52)+SUM(I52:AM52)</f>
        <v>7183.11</v>
      </c>
      <c r="AO52" s="381">
        <f t="shared" si="1"/>
        <v>0</v>
      </c>
      <c r="AQ52" s="357">
        <f t="shared" si="2"/>
        <v>7183.11</v>
      </c>
      <c r="AR52" s="357">
        <f t="shared" si="3"/>
        <v>0</v>
      </c>
    </row>
    <row r="53" spans="1:44" ht="21">
      <c r="A53" s="369">
        <v>1101030102</v>
      </c>
      <c r="B53" s="382" t="s">
        <v>153</v>
      </c>
      <c r="C53" s="388" t="s">
        <v>152</v>
      </c>
      <c r="D53" s="408">
        <v>65110073186</v>
      </c>
      <c r="E53" s="409" t="s">
        <v>154</v>
      </c>
      <c r="F53" s="376">
        <v>1814789.24</v>
      </c>
      <c r="AL53" s="345">
        <f t="shared" si="5"/>
        <v>1814789.24</v>
      </c>
      <c r="AN53" s="451">
        <v>1856830.34</v>
      </c>
      <c r="AO53" s="381">
        <f t="shared" si="1"/>
        <v>42041.10000000009</v>
      </c>
      <c r="AP53" s="369" t="s">
        <v>93</v>
      </c>
      <c r="AQ53" s="357">
        <f t="shared" si="2"/>
        <v>1856830.34</v>
      </c>
      <c r="AR53" s="357">
        <f t="shared" si="3"/>
        <v>0</v>
      </c>
    </row>
    <row r="54" spans="1:44" ht="21">
      <c r="A54" s="382" t="s">
        <v>113</v>
      </c>
      <c r="B54" s="370" t="s">
        <v>114</v>
      </c>
      <c r="C54" s="388" t="s">
        <v>115</v>
      </c>
      <c r="D54" s="408">
        <v>65210028561</v>
      </c>
      <c r="E54" s="409" t="s">
        <v>116</v>
      </c>
      <c r="F54" s="376">
        <v>30000000</v>
      </c>
      <c r="AL54" s="345">
        <f t="shared" si="5"/>
        <v>30000000</v>
      </c>
      <c r="AN54" s="451">
        <f>(H54)+SUM(I54:AM54)</f>
        <v>30000000</v>
      </c>
      <c r="AO54" s="381">
        <f t="shared" si="1"/>
        <v>0</v>
      </c>
      <c r="AQ54" s="357">
        <f t="shared" si="2"/>
        <v>30000000</v>
      </c>
      <c r="AR54" s="357">
        <f t="shared" si="3"/>
        <v>0</v>
      </c>
    </row>
    <row r="55" spans="1:44" ht="21">
      <c r="A55" s="382" t="s">
        <v>113</v>
      </c>
      <c r="B55" s="370" t="s">
        <v>118</v>
      </c>
      <c r="C55" s="388" t="s">
        <v>62</v>
      </c>
      <c r="D55" s="408">
        <v>300020091397</v>
      </c>
      <c r="E55" s="409" t="s">
        <v>117</v>
      </c>
      <c r="F55" s="412">
        <v>10419049.05</v>
      </c>
      <c r="AL55" s="345">
        <f t="shared" si="5"/>
        <v>10419049.05</v>
      </c>
      <c r="AM55" s="412"/>
      <c r="AN55" s="453">
        <f>(H55)+SUM(I55:AM55)</f>
        <v>10419049.05</v>
      </c>
      <c r="AO55" s="415">
        <f t="shared" si="1"/>
        <v>0</v>
      </c>
      <c r="AP55" s="416"/>
      <c r="AQ55" s="357">
        <f t="shared" si="2"/>
        <v>10419049.05</v>
      </c>
      <c r="AR55" s="357">
        <f t="shared" si="3"/>
        <v>0</v>
      </c>
    </row>
    <row r="56" spans="1:44" ht="21.75" thickBot="1">
      <c r="A56" s="416"/>
      <c r="B56" s="417"/>
      <c r="C56" s="418"/>
      <c r="D56" s="419"/>
      <c r="E56" s="420"/>
      <c r="F56" s="157">
        <f>SUM(F3:F55)</f>
        <v>501556147.88000005</v>
      </c>
      <c r="G56" s="374">
        <f aca="true" t="shared" si="6" ref="G56:AL56">SUM(G3:G55)</f>
        <v>22926.329999999987</v>
      </c>
      <c r="H56" s="421">
        <f t="shared" si="6"/>
        <v>434413</v>
      </c>
      <c r="I56" s="421">
        <f t="shared" si="6"/>
        <v>214119.96</v>
      </c>
      <c r="J56" s="421">
        <f t="shared" si="6"/>
        <v>0</v>
      </c>
      <c r="K56" s="421">
        <f t="shared" si="6"/>
        <v>0</v>
      </c>
      <c r="L56" s="421">
        <f t="shared" si="6"/>
        <v>364228.89</v>
      </c>
      <c r="M56" s="421">
        <f t="shared" si="6"/>
        <v>212502.81</v>
      </c>
      <c r="N56" s="421">
        <f t="shared" si="6"/>
        <v>139465.6</v>
      </c>
      <c r="O56" s="421">
        <f t="shared" si="6"/>
        <v>329895.1</v>
      </c>
      <c r="P56" s="421">
        <f t="shared" si="6"/>
        <v>23974</v>
      </c>
      <c r="Q56" s="421">
        <f t="shared" si="6"/>
        <v>0</v>
      </c>
      <c r="R56" s="421">
        <f t="shared" si="6"/>
        <v>0</v>
      </c>
      <c r="S56" s="421">
        <f t="shared" si="6"/>
        <v>-755130.02</v>
      </c>
      <c r="T56" s="421">
        <f t="shared" si="6"/>
        <v>-5103530.869999999</v>
      </c>
      <c r="U56" s="421">
        <f t="shared" si="6"/>
        <v>969054.19</v>
      </c>
      <c r="V56" s="421">
        <f t="shared" si="6"/>
        <v>-4256259</v>
      </c>
      <c r="W56" s="421">
        <f t="shared" si="6"/>
        <v>120692.84999999999</v>
      </c>
      <c r="X56" s="421">
        <f t="shared" si="6"/>
        <v>0</v>
      </c>
      <c r="Y56" s="422">
        <f t="shared" si="6"/>
        <v>0</v>
      </c>
      <c r="Z56" s="421">
        <f t="shared" si="6"/>
        <v>256628</v>
      </c>
      <c r="AA56" s="421">
        <f t="shared" si="6"/>
        <v>501921.04</v>
      </c>
      <c r="AB56" s="421">
        <f t="shared" si="6"/>
        <v>83848</v>
      </c>
      <c r="AC56" s="421">
        <f t="shared" si="6"/>
        <v>183130</v>
      </c>
      <c r="AD56" s="421">
        <f t="shared" si="6"/>
        <v>324264</v>
      </c>
      <c r="AE56" s="421">
        <f t="shared" si="6"/>
        <v>0</v>
      </c>
      <c r="AF56" s="421">
        <f t="shared" si="6"/>
        <v>0</v>
      </c>
      <c r="AG56" s="421">
        <f t="shared" si="6"/>
        <v>1019761.97</v>
      </c>
      <c r="AH56" s="421">
        <f t="shared" si="6"/>
        <v>191873.03</v>
      </c>
      <c r="AI56" s="421">
        <f t="shared" si="6"/>
        <v>169132.14</v>
      </c>
      <c r="AJ56" s="421">
        <f t="shared" si="6"/>
        <v>264511.32</v>
      </c>
      <c r="AK56" s="421">
        <f t="shared" si="6"/>
        <v>0</v>
      </c>
      <c r="AL56" s="423">
        <f t="shared" si="6"/>
        <v>497267570.22</v>
      </c>
      <c r="AM56" s="424"/>
      <c r="AN56" s="425">
        <f>SUM(AN3:AN55)</f>
        <v>532262833.64</v>
      </c>
      <c r="AO56" s="426">
        <f t="shared" si="1"/>
        <v>34995263.41999996</v>
      </c>
      <c r="AP56" s="427"/>
      <c r="AQ56" s="428">
        <f t="shared" si="2"/>
        <v>532262833.64</v>
      </c>
      <c r="AR56" s="357">
        <f t="shared" si="3"/>
        <v>0</v>
      </c>
    </row>
    <row r="57" spans="1:45" s="438" customFormat="1" ht="21">
      <c r="A57" s="511" t="s">
        <v>145</v>
      </c>
      <c r="B57" s="512"/>
      <c r="C57" s="513"/>
      <c r="D57" s="429">
        <f>AO33+AO35+AO39+AO43+AO50+AO53</f>
        <v>44755358.88999999</v>
      </c>
      <c r="E57" s="430"/>
      <c r="F57" s="431"/>
      <c r="G57" s="432">
        <f>F56+G56</f>
        <v>501579074.21000004</v>
      </c>
      <c r="H57" s="433">
        <f aca="true" t="shared" si="7" ref="H57:AK57">G57+H56</f>
        <v>502013487.21000004</v>
      </c>
      <c r="I57" s="433">
        <f t="shared" si="7"/>
        <v>502227607.17</v>
      </c>
      <c r="J57" s="433">
        <f t="shared" si="7"/>
        <v>502227607.17</v>
      </c>
      <c r="K57" s="433">
        <f t="shared" si="7"/>
        <v>502227607.17</v>
      </c>
      <c r="L57" s="433">
        <f t="shared" si="7"/>
        <v>502591836.06</v>
      </c>
      <c r="M57" s="433">
        <f t="shared" si="7"/>
        <v>502804338.87</v>
      </c>
      <c r="N57" s="433">
        <f t="shared" si="7"/>
        <v>502943804.47</v>
      </c>
      <c r="O57" s="433">
        <f t="shared" si="7"/>
        <v>503273699.57000005</v>
      </c>
      <c r="P57" s="433">
        <f t="shared" si="7"/>
        <v>503297673.57000005</v>
      </c>
      <c r="Q57" s="433">
        <f t="shared" si="7"/>
        <v>503297673.57000005</v>
      </c>
      <c r="R57" s="433">
        <f t="shared" si="7"/>
        <v>503297673.57000005</v>
      </c>
      <c r="S57" s="433">
        <f t="shared" si="7"/>
        <v>502542543.5500001</v>
      </c>
      <c r="T57" s="433">
        <f t="shared" si="7"/>
        <v>497439012.68000007</v>
      </c>
      <c r="U57" s="433">
        <f t="shared" si="7"/>
        <v>498408066.87000006</v>
      </c>
      <c r="V57" s="433">
        <f t="shared" si="7"/>
        <v>494151807.87000006</v>
      </c>
      <c r="W57" s="433">
        <f t="shared" si="7"/>
        <v>494272500.7200001</v>
      </c>
      <c r="X57" s="433">
        <f t="shared" si="7"/>
        <v>494272500.7200001</v>
      </c>
      <c r="Y57" s="433">
        <f t="shared" si="7"/>
        <v>494272500.7200001</v>
      </c>
      <c r="Z57" s="433">
        <f t="shared" si="7"/>
        <v>494529128.7200001</v>
      </c>
      <c r="AA57" s="433">
        <f t="shared" si="7"/>
        <v>495031049.7600001</v>
      </c>
      <c r="AB57" s="433">
        <f t="shared" si="7"/>
        <v>495114897.7600001</v>
      </c>
      <c r="AC57" s="433">
        <f t="shared" si="7"/>
        <v>495298027.7600001</v>
      </c>
      <c r="AD57" s="433">
        <f t="shared" si="7"/>
        <v>495622291.7600001</v>
      </c>
      <c r="AE57" s="433">
        <f>AD57+AE56</f>
        <v>495622291.7600001</v>
      </c>
      <c r="AF57" s="433">
        <f t="shared" si="7"/>
        <v>495622291.7600001</v>
      </c>
      <c r="AG57" s="433">
        <f t="shared" si="7"/>
        <v>496642053.73000014</v>
      </c>
      <c r="AH57" s="433">
        <f t="shared" si="7"/>
        <v>496833926.7600001</v>
      </c>
      <c r="AI57" s="433">
        <f t="shared" si="7"/>
        <v>497003058.9000001</v>
      </c>
      <c r="AJ57" s="433">
        <f t="shared" si="7"/>
        <v>497267570.2200001</v>
      </c>
      <c r="AK57" s="433">
        <f t="shared" si="7"/>
        <v>497267570.2200001</v>
      </c>
      <c r="AL57" s="433"/>
      <c r="AM57" s="434"/>
      <c r="AN57" s="435"/>
      <c r="AO57" s="436"/>
      <c r="AP57" s="437"/>
      <c r="AS57" s="434" t="s">
        <v>131</v>
      </c>
    </row>
    <row r="58" spans="1:45" ht="21">
      <c r="A58" s="514" t="s">
        <v>140</v>
      </c>
      <c r="B58" s="515"/>
      <c r="C58" s="516"/>
      <c r="D58" s="281">
        <v>0</v>
      </c>
      <c r="E58" s="300"/>
      <c r="F58" s="290"/>
      <c r="G58" s="439"/>
      <c r="I58" s="374"/>
      <c r="J58" s="374"/>
      <c r="AS58" s="376" t="s">
        <v>132</v>
      </c>
    </row>
    <row r="59" spans="1:43" ht="21">
      <c r="A59" s="301"/>
      <c r="B59" s="282"/>
      <c r="C59" s="280" t="s">
        <v>138</v>
      </c>
      <c r="D59" s="283"/>
      <c r="E59" s="302">
        <f>D57+D58</f>
        <v>44755358.88999999</v>
      </c>
      <c r="F59" s="290"/>
      <c r="G59" s="439"/>
      <c r="AQ59" s="357">
        <f>D57+D61</f>
        <v>34995263.42</v>
      </c>
    </row>
    <row r="60" spans="1:38" ht="21.75" thickBot="1">
      <c r="A60" s="303"/>
      <c r="B60" s="282"/>
      <c r="C60" s="284"/>
      <c r="D60" s="285"/>
      <c r="E60" s="304"/>
      <c r="F60" s="290"/>
      <c r="G60" s="441"/>
      <c r="AL60" s="442"/>
    </row>
    <row r="61" spans="1:43" ht="21.75" thickBot="1">
      <c r="A61" s="517" t="s">
        <v>146</v>
      </c>
      <c r="B61" s="518"/>
      <c r="C61" s="519"/>
      <c r="D61" s="281">
        <f>E63</f>
        <v>-9760095.469999995</v>
      </c>
      <c r="E61" s="304"/>
      <c r="F61" s="290" t="s">
        <v>144</v>
      </c>
      <c r="G61" s="441"/>
      <c r="AK61" s="443"/>
      <c r="AL61" s="444">
        <f>D57+E63</f>
        <v>34995263.42</v>
      </c>
      <c r="AM61" s="291"/>
      <c r="AQ61" s="357"/>
    </row>
    <row r="62" spans="1:43" ht="21">
      <c r="A62" s="301"/>
      <c r="B62" s="286"/>
      <c r="C62" s="287" t="s">
        <v>141</v>
      </c>
      <c r="D62" s="280"/>
      <c r="E62" s="305">
        <v>0</v>
      </c>
      <c r="F62" s="290"/>
      <c r="G62" s="441"/>
      <c r="AL62" s="445"/>
      <c r="AQ62" s="357">
        <f>AQ61+AN61</f>
        <v>0</v>
      </c>
    </row>
    <row r="63" spans="1:6" ht="21">
      <c r="A63" s="303"/>
      <c r="B63" s="282"/>
      <c r="C63" s="288" t="s">
        <v>139</v>
      </c>
      <c r="D63" s="289"/>
      <c r="E63" s="306">
        <f>AO21+AO23+AO25+AO36+AO37+AO38+AO40+AO44+AO47</f>
        <v>-9760095.469999995</v>
      </c>
      <c r="F63" s="291"/>
    </row>
    <row r="64" spans="1:6" ht="21.75" thickBot="1">
      <c r="A64" s="307"/>
      <c r="B64" s="308"/>
      <c r="C64" s="308"/>
      <c r="D64" s="309"/>
      <c r="E64" s="310"/>
      <c r="F64" s="291"/>
    </row>
    <row r="65" spans="1:5" ht="21">
      <c r="A65" s="446"/>
      <c r="B65" s="447"/>
      <c r="C65" s="447"/>
      <c r="D65" s="448"/>
      <c r="E65" s="449"/>
    </row>
    <row r="66" ht="21">
      <c r="D66" s="450"/>
    </row>
    <row r="67" ht="21">
      <c r="D67" s="450"/>
    </row>
    <row r="68" ht="21">
      <c r="D68" s="450"/>
    </row>
    <row r="69" ht="21">
      <c r="D69" s="450"/>
    </row>
    <row r="70" ht="21">
      <c r="D70" s="450"/>
    </row>
    <row r="71" ht="21">
      <c r="D71" s="450"/>
    </row>
    <row r="72" ht="21">
      <c r="D72" s="450"/>
    </row>
    <row r="73" ht="21">
      <c r="D73" s="450"/>
    </row>
  </sheetData>
  <sheetProtection/>
  <mergeCells count="10">
    <mergeCell ref="G1:AK1"/>
    <mergeCell ref="A57:C57"/>
    <mergeCell ref="A58:C58"/>
    <mergeCell ref="A61:C61"/>
    <mergeCell ref="E1:E2"/>
    <mergeCell ref="F1:F2"/>
    <mergeCell ref="A1:A2"/>
    <mergeCell ref="B1:B2"/>
    <mergeCell ref="C1:C2"/>
    <mergeCell ref="D1:D2"/>
  </mergeCells>
  <dataValidations count="1">
    <dataValidation type="textLength" operator="equal" allowBlank="1" showErrorMessage="1" errorTitle="ข้อผิดพลาด" error="กรุณาใส่ &quot;รหัสบัญชีธนาคารย่อย&quot; &#10;เป็นตัวเลขจำนวน 6 หลัก !!" sqref="E49:E55">
      <formula1>6</formula1>
    </dataValidation>
  </dataValidations>
  <printOptions/>
  <pageMargins left="1.141732283464567" right="0.15748031496062992" top="0.4330708661417323" bottom="0.5118110236220472" header="0.2755905511811024" footer="0.275590551181102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yrh</cp:lastModifiedBy>
  <cp:lastPrinted>2018-05-08T06:43:00Z</cp:lastPrinted>
  <dcterms:created xsi:type="dcterms:W3CDTF">2011-05-04T04:12:53Z</dcterms:created>
  <dcterms:modified xsi:type="dcterms:W3CDTF">2018-05-21T07:04:55Z</dcterms:modified>
  <cp:category/>
  <cp:version/>
  <cp:contentType/>
  <cp:contentStatus/>
</cp:coreProperties>
</file>